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2"/>
  </bookViews>
  <sheets>
    <sheet name="Foglio1" sheetId="1" r:id="rId1"/>
    <sheet name="Foglio2" sheetId="2" r:id="rId2"/>
    <sheet name="Foglio4" sheetId="4" r:id="rId3"/>
    <sheet name="Foglio6" sheetId="6" r:id="rId4"/>
  </sheets>
  <calcPr calcId="124519"/>
</workbook>
</file>

<file path=xl/calcChain.xml><?xml version="1.0" encoding="utf-8"?>
<calcChain xmlns="http://schemas.openxmlformats.org/spreadsheetml/2006/main">
  <c r="AJ38" i="6"/>
  <c r="Z32" i="4"/>
  <c r="AJ39" i="6"/>
  <c r="AJ6"/>
  <c r="AI39"/>
  <c r="AI38"/>
  <c r="AI7"/>
  <c r="AI6"/>
  <c r="AH39"/>
  <c r="AH38"/>
  <c r="AH7"/>
  <c r="AH8"/>
  <c r="AH6"/>
  <c r="AG39"/>
  <c r="AG38"/>
  <c r="AG7"/>
  <c r="AG8"/>
  <c r="AG9"/>
  <c r="AG6"/>
  <c r="AF39"/>
  <c r="AF38"/>
  <c r="AF7"/>
  <c r="AF8"/>
  <c r="AF9"/>
  <c r="AF10"/>
  <c r="AF6"/>
  <c r="AE39"/>
  <c r="AE38"/>
  <c r="AE7"/>
  <c r="AE8"/>
  <c r="AE9"/>
  <c r="AE10"/>
  <c r="AE11"/>
  <c r="AE6"/>
  <c r="AD39"/>
  <c r="AD38"/>
  <c r="AD7"/>
  <c r="AD8"/>
  <c r="AD9"/>
  <c r="AD10"/>
  <c r="AD11"/>
  <c r="AD12"/>
  <c r="AD6"/>
  <c r="AC39"/>
  <c r="AC38"/>
  <c r="AC7"/>
  <c r="AC8"/>
  <c r="AC9"/>
  <c r="AC10"/>
  <c r="AC11"/>
  <c r="AC12"/>
  <c r="AC13"/>
  <c r="AC6"/>
  <c r="AB39"/>
  <c r="AB38"/>
  <c r="AB7"/>
  <c r="AB8"/>
  <c r="AB9"/>
  <c r="AB10"/>
  <c r="AB11"/>
  <c r="AB12"/>
  <c r="AB13"/>
  <c r="AB14"/>
  <c r="AB6"/>
  <c r="AA39"/>
  <c r="AA38"/>
  <c r="AA7"/>
  <c r="AA8"/>
  <c r="AA9"/>
  <c r="AA10"/>
  <c r="AA11"/>
  <c r="AA12"/>
  <c r="AA13"/>
  <c r="AA14"/>
  <c r="AA15"/>
  <c r="AA6"/>
  <c r="Z7"/>
  <c r="Z8"/>
  <c r="Z9"/>
  <c r="Z10"/>
  <c r="Z11"/>
  <c r="Z12"/>
  <c r="Z13"/>
  <c r="Z14"/>
  <c r="Z15"/>
  <c r="Z16"/>
  <c r="Z6"/>
  <c r="Y7"/>
  <c r="Y8"/>
  <c r="Y9"/>
  <c r="Y10"/>
  <c r="Y11"/>
  <c r="Y12"/>
  <c r="Y13"/>
  <c r="Y14"/>
  <c r="Y15"/>
  <c r="Y16"/>
  <c r="Y17"/>
  <c r="Y6"/>
  <c r="X7"/>
  <c r="X8"/>
  <c r="X9"/>
  <c r="X10"/>
  <c r="X11"/>
  <c r="X12"/>
  <c r="X13"/>
  <c r="X14"/>
  <c r="X15"/>
  <c r="X16"/>
  <c r="X17"/>
  <c r="X18"/>
  <c r="X6"/>
  <c r="W7"/>
  <c r="W8"/>
  <c r="W9"/>
  <c r="W10"/>
  <c r="W11"/>
  <c r="W12"/>
  <c r="W13"/>
  <c r="W14"/>
  <c r="W15"/>
  <c r="W16"/>
  <c r="W17"/>
  <c r="W18"/>
  <c r="W19"/>
  <c r="W6"/>
  <c r="V7"/>
  <c r="V8"/>
  <c r="V9"/>
  <c r="V10"/>
  <c r="V11"/>
  <c r="V12"/>
  <c r="V13"/>
  <c r="V14"/>
  <c r="V15"/>
  <c r="V16"/>
  <c r="V17"/>
  <c r="V18"/>
  <c r="V19"/>
  <c r="V20"/>
  <c r="V6"/>
  <c r="U7"/>
  <c r="U8"/>
  <c r="U9"/>
  <c r="U10"/>
  <c r="U11"/>
  <c r="U12"/>
  <c r="U13"/>
  <c r="U14"/>
  <c r="U15"/>
  <c r="U16"/>
  <c r="U17"/>
  <c r="U18"/>
  <c r="U19"/>
  <c r="U20"/>
  <c r="U21"/>
  <c r="U6"/>
  <c r="T7"/>
  <c r="T8"/>
  <c r="T9"/>
  <c r="T10"/>
  <c r="T11"/>
  <c r="T12"/>
  <c r="T13"/>
  <c r="T14"/>
  <c r="T15"/>
  <c r="T16"/>
  <c r="T17"/>
  <c r="T18"/>
  <c r="T19"/>
  <c r="T20"/>
  <c r="T21"/>
  <c r="T22"/>
  <c r="T6"/>
  <c r="S7"/>
  <c r="S8"/>
  <c r="S9"/>
  <c r="S10"/>
  <c r="S11"/>
  <c r="S12"/>
  <c r="S13"/>
  <c r="S14"/>
  <c r="S15"/>
  <c r="S16"/>
  <c r="S17"/>
  <c r="S18"/>
  <c r="S19"/>
  <c r="S20"/>
  <c r="S21"/>
  <c r="S22"/>
  <c r="S23"/>
  <c r="S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6"/>
  <c r="J7"/>
  <c r="J8"/>
  <c r="J38" s="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6"/>
  <c r="Q39"/>
  <c r="M39"/>
  <c r="L39"/>
  <c r="K38"/>
  <c r="I38"/>
  <c r="H39"/>
  <c r="H38"/>
  <c r="E8" i="4"/>
  <c r="F8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3"/>
  <c r="F13" s="1"/>
  <c r="E12"/>
  <c r="F12" s="1"/>
  <c r="E11"/>
  <c r="F11" s="1"/>
  <c r="E10"/>
  <c r="F10" s="1"/>
  <c r="E9"/>
  <c r="F9" s="1"/>
  <c r="E7"/>
  <c r="F7" s="1"/>
  <c r="E6"/>
  <c r="F6" s="1"/>
  <c r="E5"/>
  <c r="F5" s="1"/>
  <c r="G46" i="1"/>
  <c r="H46"/>
  <c r="I46" s="1"/>
  <c r="J46" s="1"/>
  <c r="G45"/>
  <c r="H45"/>
  <c r="I45" s="1"/>
  <c r="J45" s="1"/>
  <c r="G44"/>
  <c r="H44"/>
  <c r="I44" s="1"/>
  <c r="J44" s="1"/>
  <c r="G43"/>
  <c r="H43" s="1"/>
  <c r="I43" s="1"/>
  <c r="J43" s="1"/>
  <c r="G42"/>
  <c r="H42"/>
  <c r="I42" s="1"/>
  <c r="J42" s="1"/>
  <c r="G41"/>
  <c r="H41"/>
  <c r="I41" s="1"/>
  <c r="J41" s="1"/>
  <c r="H17"/>
  <c r="I17" s="1"/>
  <c r="J17" s="1"/>
  <c r="H16"/>
  <c r="I16" s="1"/>
  <c r="J16" s="1"/>
  <c r="H15"/>
  <c r="I15" s="1"/>
  <c r="J15" s="1"/>
  <c r="H14"/>
  <c r="I14" s="1"/>
  <c r="J14" s="1"/>
  <c r="H13"/>
  <c r="I13" s="1"/>
  <c r="J13" s="1"/>
  <c r="H12"/>
  <c r="I12" s="1"/>
  <c r="J12" s="1"/>
  <c r="H11"/>
  <c r="I11" s="1"/>
  <c r="J11" s="1"/>
  <c r="H10"/>
  <c r="I10" s="1"/>
  <c r="J10" s="1"/>
  <c r="H9"/>
  <c r="I9" s="1"/>
  <c r="J9" s="1"/>
  <c r="H8"/>
  <c r="I8" s="1"/>
  <c r="J8" s="1"/>
  <c r="H7"/>
  <c r="I7" s="1"/>
  <c r="J7" s="1"/>
  <c r="H6"/>
  <c r="I6" s="1"/>
  <c r="J6" s="1"/>
  <c r="G17"/>
  <c r="G16"/>
  <c r="G15"/>
  <c r="G14"/>
  <c r="G13"/>
  <c r="G12"/>
  <c r="G11"/>
  <c r="G10"/>
  <c r="G9"/>
  <c r="G8"/>
  <c r="G7"/>
  <c r="G6"/>
  <c r="P6" i="2"/>
  <c r="Q6" s="1"/>
  <c r="G7"/>
  <c r="H7" s="1"/>
  <c r="I7" s="1"/>
  <c r="G8"/>
  <c r="H8" s="1"/>
  <c r="I8" s="1"/>
  <c r="G9"/>
  <c r="H9" s="1"/>
  <c r="I9" s="1"/>
  <c r="G10"/>
  <c r="H10" s="1"/>
  <c r="I10" s="1"/>
  <c r="G11"/>
  <c r="H11" s="1"/>
  <c r="I11" s="1"/>
  <c r="G12"/>
  <c r="H12" s="1"/>
  <c r="I12" s="1"/>
  <c r="G13"/>
  <c r="H13" s="1"/>
  <c r="I13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G19"/>
  <c r="H19" s="1"/>
  <c r="I19" s="1"/>
  <c r="G20"/>
  <c r="H20" s="1"/>
  <c r="I20" s="1"/>
  <c r="G21"/>
  <c r="H21" s="1"/>
  <c r="I21" s="1"/>
  <c r="G22"/>
  <c r="H22" s="1"/>
  <c r="I22" s="1"/>
  <c r="G23"/>
  <c r="H23" s="1"/>
  <c r="I23" s="1"/>
  <c r="G24"/>
  <c r="H24" s="1"/>
  <c r="I24" s="1"/>
  <c r="G25"/>
  <c r="H25" s="1"/>
  <c r="I25" s="1"/>
  <c r="G26"/>
  <c r="H26" s="1"/>
  <c r="I26" s="1"/>
  <c r="G27"/>
  <c r="H27" s="1"/>
  <c r="I27" s="1"/>
  <c r="G28"/>
  <c r="H28" s="1"/>
  <c r="I28" s="1"/>
  <c r="G29"/>
  <c r="H29" s="1"/>
  <c r="I29" s="1"/>
  <c r="G30"/>
  <c r="H30" s="1"/>
  <c r="I30" s="1"/>
  <c r="G31"/>
  <c r="H31" s="1"/>
  <c r="I31" s="1"/>
  <c r="G32"/>
  <c r="H32" s="1"/>
  <c r="I32" s="1"/>
  <c r="G33"/>
  <c r="H33" s="1"/>
  <c r="I33" s="1"/>
  <c r="G34"/>
  <c r="H34" s="1"/>
  <c r="I34" s="1"/>
  <c r="G35"/>
  <c r="H35" s="1"/>
  <c r="I35" s="1"/>
  <c r="G6"/>
  <c r="H6" s="1"/>
  <c r="I6" s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6"/>
  <c r="O38" i="6" l="1"/>
  <c r="R38"/>
  <c r="U39"/>
  <c r="V38"/>
  <c r="N38"/>
  <c r="Z39"/>
  <c r="P38"/>
  <c r="Y39"/>
  <c r="J39"/>
  <c r="Y38"/>
  <c r="I39"/>
  <c r="L38"/>
  <c r="N39"/>
  <c r="O39"/>
  <c r="T39"/>
  <c r="W38"/>
  <c r="K39"/>
  <c r="M38"/>
  <c r="P39"/>
  <c r="S38"/>
  <c r="X39"/>
  <c r="R39"/>
  <c r="S39"/>
  <c r="U38"/>
  <c r="X38"/>
  <c r="Z38"/>
  <c r="Q38"/>
  <c r="T38"/>
  <c r="V39"/>
  <c r="W39"/>
  <c r="F25" i="4"/>
  <c r="F26"/>
  <c r="G19" i="1" l="1"/>
  <c r="H19" s="1"/>
  <c r="I19" s="1"/>
  <c r="J19" s="1"/>
  <c r="G20"/>
  <c r="H20" s="1"/>
  <c r="I20" s="1"/>
  <c r="J20" s="1"/>
  <c r="G21"/>
  <c r="H21" s="1"/>
  <c r="I21" s="1"/>
  <c r="J21" s="1"/>
  <c r="G22"/>
  <c r="H22" s="1"/>
  <c r="I22" s="1"/>
  <c r="J22" s="1"/>
  <c r="G23"/>
  <c r="H23" s="1"/>
  <c r="I23" s="1"/>
  <c r="J23" s="1"/>
  <c r="G24"/>
  <c r="H24" s="1"/>
  <c r="I24" s="1"/>
  <c r="J24" s="1"/>
  <c r="G25"/>
  <c r="H25" s="1"/>
  <c r="I25" s="1"/>
  <c r="J25" s="1"/>
  <c r="G26"/>
  <c r="H26" s="1"/>
  <c r="I26" s="1"/>
  <c r="J26" s="1"/>
  <c r="G27"/>
  <c r="H27" s="1"/>
  <c r="I27" s="1"/>
  <c r="J27" s="1"/>
  <c r="G28"/>
  <c r="H28" s="1"/>
  <c r="I28" s="1"/>
  <c r="J28" s="1"/>
  <c r="G29"/>
  <c r="H29" s="1"/>
  <c r="I29" s="1"/>
  <c r="J29" s="1"/>
  <c r="G30"/>
  <c r="H30" s="1"/>
  <c r="I30" s="1"/>
  <c r="J30" s="1"/>
  <c r="G31"/>
  <c r="H31" s="1"/>
  <c r="I31" s="1"/>
  <c r="J31" s="1"/>
  <c r="G32"/>
  <c r="H32" s="1"/>
  <c r="I32" s="1"/>
  <c r="J32" s="1"/>
  <c r="G33"/>
  <c r="H33" s="1"/>
  <c r="I33" s="1"/>
  <c r="J33" s="1"/>
  <c r="G34"/>
  <c r="H34" s="1"/>
  <c r="I34" s="1"/>
  <c r="J34" s="1"/>
  <c r="G35"/>
  <c r="H35" s="1"/>
  <c r="I35" s="1"/>
  <c r="J35" s="1"/>
  <c r="G36"/>
  <c r="H36" s="1"/>
  <c r="I36" s="1"/>
  <c r="J36" s="1"/>
  <c r="G37"/>
  <c r="H37" s="1"/>
  <c r="I37" s="1"/>
  <c r="J37" s="1"/>
  <c r="G38"/>
  <c r="H38" s="1"/>
  <c r="I38" s="1"/>
  <c r="J38" s="1"/>
  <c r="G39"/>
  <c r="H39" s="1"/>
  <c r="I39" s="1"/>
  <c r="J39" s="1"/>
  <c r="G40"/>
  <c r="H40" s="1"/>
  <c r="I40" s="1"/>
  <c r="J40" s="1"/>
  <c r="G18"/>
  <c r="H18" s="1"/>
  <c r="I18" s="1"/>
  <c r="J18" s="1"/>
</calcChain>
</file>

<file path=xl/sharedStrings.xml><?xml version="1.0" encoding="utf-8"?>
<sst xmlns="http://schemas.openxmlformats.org/spreadsheetml/2006/main" count="58" uniqueCount="17">
  <si>
    <t>Anno 2018-2019</t>
  </si>
  <si>
    <t>giorno</t>
  </si>
  <si>
    <t>gradi</t>
  </si>
  <si>
    <t xml:space="preserve">primi </t>
  </si>
  <si>
    <t>secondi</t>
  </si>
  <si>
    <t>gradi decimali</t>
  </si>
  <si>
    <t>Latitudine Roma</t>
  </si>
  <si>
    <t>primi</t>
  </si>
  <si>
    <t>Altezza a mezzodì (valore preciso)</t>
  </si>
  <si>
    <t>Altezza a mezzodì (simulazione)</t>
  </si>
  <si>
    <t>Dev.Standard =</t>
  </si>
  <si>
    <t>Altezza a mezzodì (approssimazione quarti di grado)</t>
  </si>
  <si>
    <t>Latitudine Roma (approssimazione quarti grado)</t>
  </si>
  <si>
    <t>Declinazione mezzodì</t>
  </si>
  <si>
    <t>media</t>
  </si>
  <si>
    <t>dev.st.</t>
  </si>
  <si>
    <t>dev.st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</si>
</sst>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0000"/>
    <numFmt numFmtId="167" formatCode="0.0000000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6" fontId="0" fillId="2" borderId="5" xfId="0" applyNumberFormat="1" applyFill="1" applyBorder="1"/>
    <xf numFmtId="1" fontId="0" fillId="2" borderId="5" xfId="0" applyNumberFormat="1" applyFill="1" applyBorder="1"/>
    <xf numFmtId="16" fontId="0" fillId="0" borderId="5" xfId="0" applyNumberFormat="1" applyFill="1" applyBorder="1"/>
    <xf numFmtId="1" fontId="0" fillId="0" borderId="5" xfId="0" applyNumberFormat="1" applyFill="1" applyBorder="1"/>
    <xf numFmtId="0" fontId="0" fillId="2" borderId="5" xfId="0" applyFill="1" applyBorder="1"/>
    <xf numFmtId="16" fontId="0" fillId="0" borderId="5" xfId="0" applyNumberFormat="1" applyBorder="1"/>
    <xf numFmtId="0" fontId="0" fillId="0" borderId="6" xfId="0" applyBorder="1"/>
    <xf numFmtId="0" fontId="0" fillId="0" borderId="5" xfId="0" applyBorder="1"/>
    <xf numFmtId="0" fontId="0" fillId="2" borderId="6" xfId="0" applyFill="1" applyBorder="1"/>
    <xf numFmtId="16" fontId="0" fillId="3" borderId="5" xfId="0" applyNumberFormat="1" applyFill="1" applyBorder="1"/>
    <xf numFmtId="0" fontId="0" fillId="3" borderId="6" xfId="0" applyFill="1" applyBorder="1"/>
    <xf numFmtId="0" fontId="0" fillId="3" borderId="5" xfId="0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7" xfId="0" applyBorder="1"/>
    <xf numFmtId="16" fontId="0" fillId="0" borderId="7" xfId="0" applyNumberFormat="1" applyBorder="1"/>
    <xf numFmtId="164" fontId="0" fillId="2" borderId="6" xfId="0" applyNumberFormat="1" applyFill="1" applyBorder="1"/>
    <xf numFmtId="164" fontId="0" fillId="0" borderId="6" xfId="0" applyNumberFormat="1" applyFill="1" applyBorder="1"/>
    <xf numFmtId="164" fontId="0" fillId="0" borderId="6" xfId="0" applyNumberFormat="1" applyBorder="1"/>
    <xf numFmtId="164" fontId="0" fillId="3" borderId="6" xfId="0" applyNumberFormat="1" applyFill="1" applyBorder="1"/>
    <xf numFmtId="165" fontId="0" fillId="2" borderId="5" xfId="0" applyNumberFormat="1" applyFill="1" applyBorder="1"/>
    <xf numFmtId="165" fontId="0" fillId="2" borderId="7" xfId="0" applyNumberFormat="1" applyFill="1" applyBorder="1"/>
    <xf numFmtId="2" fontId="0" fillId="2" borderId="8" xfId="0" applyNumberFormat="1" applyFill="1" applyBorder="1"/>
    <xf numFmtId="2" fontId="0" fillId="2" borderId="5" xfId="0" applyNumberFormat="1" applyFill="1" applyBorder="1"/>
    <xf numFmtId="2" fontId="0" fillId="2" borderId="7" xfId="0" applyNumberFormat="1" applyFill="1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0" xfId="0" quotePrefix="1"/>
    <xf numFmtId="16" fontId="0" fillId="4" borderId="0" xfId="0" applyNumberFormat="1" applyFill="1" applyBorder="1"/>
    <xf numFmtId="22" fontId="0" fillId="0" borderId="0" xfId="0" applyNumberFormat="1"/>
    <xf numFmtId="0" fontId="0" fillId="0" borderId="0" xfId="0" applyFill="1"/>
    <xf numFmtId="22" fontId="0" fillId="0" borderId="0" xfId="0" applyNumberFormat="1" applyAlignment="1">
      <alignment horizontal="right"/>
    </xf>
    <xf numFmtId="0" fontId="0" fillId="0" borderId="4" xfId="0" applyBorder="1" applyAlignment="1">
      <alignment horizontal="center" wrapText="1"/>
    </xf>
    <xf numFmtId="164" fontId="0" fillId="0" borderId="5" xfId="0" applyNumberFormat="1" applyBorder="1"/>
    <xf numFmtId="164" fontId="0" fillId="3" borderId="5" xfId="0" applyNumberFormat="1" applyFill="1" applyBorder="1"/>
    <xf numFmtId="16" fontId="3" fillId="5" borderId="5" xfId="0" applyNumberFormat="1" applyFont="1" applyFill="1" applyBorder="1"/>
    <xf numFmtId="0" fontId="3" fillId="5" borderId="6" xfId="0" applyFont="1" applyFill="1" applyBorder="1"/>
    <xf numFmtId="0" fontId="3" fillId="5" borderId="5" xfId="0" applyFont="1" applyFill="1" applyBorder="1"/>
    <xf numFmtId="164" fontId="3" fillId="5" borderId="5" xfId="0" applyNumberFormat="1" applyFont="1" applyFill="1" applyBorder="1"/>
    <xf numFmtId="167" fontId="0" fillId="0" borderId="5" xfId="0" applyNumberFormat="1" applyBorder="1"/>
    <xf numFmtId="16" fontId="0" fillId="3" borderId="7" xfId="0" applyNumberFormat="1" applyFill="1" applyBorder="1"/>
    <xf numFmtId="0" fontId="0" fillId="3" borderId="7" xfId="0" applyFill="1" applyBorder="1"/>
    <xf numFmtId="164" fontId="0" fillId="3" borderId="7" xfId="0" applyNumberFormat="1" applyFill="1" applyBorder="1"/>
    <xf numFmtId="167" fontId="0" fillId="0" borderId="7" xfId="0" applyNumberFormat="1" applyBorder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7" borderId="5" xfId="0" applyFill="1" applyBorder="1" applyAlignment="1">
      <alignment horizontal="right"/>
    </xf>
    <xf numFmtId="0" fontId="0" fillId="7" borderId="6" xfId="0" applyFill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0" xfId="0" applyFill="1" applyBorder="1" applyAlignment="1">
      <alignment horizontal="center"/>
    </xf>
    <xf numFmtId="0" fontId="0" fillId="0" borderId="0" xfId="0" applyBorder="1"/>
    <xf numFmtId="0" fontId="0" fillId="0" borderId="9" xfId="0" applyBorder="1" applyAlignment="1">
      <alignment horizontal="right"/>
    </xf>
    <xf numFmtId="0" fontId="0" fillId="7" borderId="11" xfId="0" applyFill="1" applyBorder="1" applyAlignment="1">
      <alignment horizontal="right"/>
    </xf>
    <xf numFmtId="0" fontId="0" fillId="0" borderId="11" xfId="0" applyBorder="1" applyAlignment="1">
      <alignment horizontal="right"/>
    </xf>
    <xf numFmtId="164" fontId="0" fillId="0" borderId="7" xfId="0" applyNumberFormat="1" applyBorder="1"/>
    <xf numFmtId="0" fontId="0" fillId="5" borderId="0" xfId="0" applyFill="1"/>
    <xf numFmtId="0" fontId="4" fillId="0" borderId="0" xfId="0" applyFont="1"/>
    <xf numFmtId="22" fontId="4" fillId="0" borderId="0" xfId="0" applyNumberFormat="1" applyFont="1"/>
    <xf numFmtId="0" fontId="0" fillId="6" borderId="0" xfId="0" applyFill="1"/>
    <xf numFmtId="2" fontId="0" fillId="0" borderId="0" xfId="0" applyNumberFormat="1"/>
    <xf numFmtId="22" fontId="1" fillId="0" borderId="0" xfId="0" applyNumberFormat="1" applyFont="1"/>
    <xf numFmtId="0" fontId="1" fillId="0" borderId="0" xfId="0" applyFont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wrapText="1"/>
    </xf>
    <xf numFmtId="0" fontId="2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e" xfId="0" builtinId="0"/>
  </cellStyles>
  <dxfs count="43"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D8D8D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tx>
        <c:rich>
          <a:bodyPr/>
          <a:lstStyle/>
          <a:p>
            <a:pPr>
              <a:defRPr/>
            </a:pPr>
            <a:r>
              <a:rPr lang="it-IT"/>
              <a:t>Declinazioni</a:t>
            </a:r>
            <a:r>
              <a:rPr lang="it-IT" baseline="0"/>
              <a:t> del Sole a mezzodì in prossi mità dell'equinozio primaverile  (Anno 2018-2019) </a:t>
            </a:r>
            <a:endParaRPr lang="it-IT"/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trendline>
            <c:trendlineType val="linear"/>
          </c:trendline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Foglio4!$C$5:$C$45</c:f>
              <c:numCache>
                <c:formatCode>dd\-mmm</c:formatCode>
                <c:ptCount val="41"/>
                <c:pt idx="0">
                  <c:v>43159</c:v>
                </c:pt>
                <c:pt idx="1">
                  <c:v>43160</c:v>
                </c:pt>
                <c:pt idx="2">
                  <c:v>43161</c:v>
                </c:pt>
                <c:pt idx="3">
                  <c:v>43162</c:v>
                </c:pt>
                <c:pt idx="4">
                  <c:v>43163</c:v>
                </c:pt>
                <c:pt idx="5">
                  <c:v>43164</c:v>
                </c:pt>
                <c:pt idx="6">
                  <c:v>43165</c:v>
                </c:pt>
                <c:pt idx="7">
                  <c:v>43166</c:v>
                </c:pt>
                <c:pt idx="8">
                  <c:v>43167</c:v>
                </c:pt>
                <c:pt idx="9">
                  <c:v>43168</c:v>
                </c:pt>
                <c:pt idx="10">
                  <c:v>43169</c:v>
                </c:pt>
                <c:pt idx="11">
                  <c:v>43170</c:v>
                </c:pt>
                <c:pt idx="12">
                  <c:v>43171</c:v>
                </c:pt>
                <c:pt idx="13">
                  <c:v>43172</c:v>
                </c:pt>
                <c:pt idx="14">
                  <c:v>43173</c:v>
                </c:pt>
                <c:pt idx="15">
                  <c:v>43174</c:v>
                </c:pt>
                <c:pt idx="16">
                  <c:v>43175</c:v>
                </c:pt>
                <c:pt idx="17">
                  <c:v>43176</c:v>
                </c:pt>
                <c:pt idx="18">
                  <c:v>43177</c:v>
                </c:pt>
                <c:pt idx="19">
                  <c:v>43178</c:v>
                </c:pt>
                <c:pt idx="20">
                  <c:v>43179</c:v>
                </c:pt>
                <c:pt idx="21">
                  <c:v>43180</c:v>
                </c:pt>
                <c:pt idx="22">
                  <c:v>43181</c:v>
                </c:pt>
                <c:pt idx="23">
                  <c:v>43182</c:v>
                </c:pt>
                <c:pt idx="24">
                  <c:v>43183</c:v>
                </c:pt>
                <c:pt idx="25">
                  <c:v>43184</c:v>
                </c:pt>
                <c:pt idx="26">
                  <c:v>43185</c:v>
                </c:pt>
                <c:pt idx="27">
                  <c:v>43186</c:v>
                </c:pt>
                <c:pt idx="28">
                  <c:v>43187</c:v>
                </c:pt>
                <c:pt idx="29">
                  <c:v>43188</c:v>
                </c:pt>
                <c:pt idx="30">
                  <c:v>43189</c:v>
                </c:pt>
                <c:pt idx="31">
                  <c:v>43190</c:v>
                </c:pt>
                <c:pt idx="32">
                  <c:v>43191</c:v>
                </c:pt>
                <c:pt idx="33">
                  <c:v>43192</c:v>
                </c:pt>
                <c:pt idx="34">
                  <c:v>43193</c:v>
                </c:pt>
                <c:pt idx="35">
                  <c:v>43194</c:v>
                </c:pt>
                <c:pt idx="36">
                  <c:v>43195</c:v>
                </c:pt>
                <c:pt idx="37">
                  <c:v>43196</c:v>
                </c:pt>
                <c:pt idx="38">
                  <c:v>43197</c:v>
                </c:pt>
                <c:pt idx="39">
                  <c:v>43198</c:v>
                </c:pt>
                <c:pt idx="40">
                  <c:v>43199</c:v>
                </c:pt>
              </c:numCache>
            </c:numRef>
          </c:xVal>
          <c:yVal>
            <c:numRef>
              <c:f>Foglio4!$D$5:$D$45</c:f>
              <c:numCache>
                <c:formatCode>General</c:formatCode>
                <c:ptCount val="41"/>
                <c:pt idx="0">
                  <c:v>-8.25</c:v>
                </c:pt>
                <c:pt idx="1">
                  <c:v>-8</c:v>
                </c:pt>
                <c:pt idx="2">
                  <c:v>-7.25</c:v>
                </c:pt>
                <c:pt idx="3">
                  <c:v>-6.25</c:v>
                </c:pt>
                <c:pt idx="4">
                  <c:v>-6.25</c:v>
                </c:pt>
                <c:pt idx="5">
                  <c:v>-5.75</c:v>
                </c:pt>
                <c:pt idx="6">
                  <c:v>-5.25</c:v>
                </c:pt>
                <c:pt idx="7">
                  <c:v>-4.75</c:v>
                </c:pt>
                <c:pt idx="8">
                  <c:v>-4.5</c:v>
                </c:pt>
                <c:pt idx="9">
                  <c:v>-4.25</c:v>
                </c:pt>
                <c:pt idx="10">
                  <c:v>-4.25</c:v>
                </c:pt>
                <c:pt idx="11">
                  <c:v>-3.5</c:v>
                </c:pt>
                <c:pt idx="12">
                  <c:v>-3</c:v>
                </c:pt>
                <c:pt idx="13">
                  <c:v>-3</c:v>
                </c:pt>
                <c:pt idx="14">
                  <c:v>-2.25</c:v>
                </c:pt>
                <c:pt idx="15">
                  <c:v>-1.75</c:v>
                </c:pt>
                <c:pt idx="16">
                  <c:v>-1.75</c:v>
                </c:pt>
                <c:pt idx="17">
                  <c:v>-1</c:v>
                </c:pt>
                <c:pt idx="18">
                  <c:v>-1</c:v>
                </c:pt>
                <c:pt idx="19">
                  <c:v>-0.5</c:v>
                </c:pt>
                <c:pt idx="20">
                  <c:v>0</c:v>
                </c:pt>
                <c:pt idx="21">
                  <c:v>0.5</c:v>
                </c:pt>
                <c:pt idx="22">
                  <c:v>1</c:v>
                </c:pt>
                <c:pt idx="23">
                  <c:v>1</c:v>
                </c:pt>
                <c:pt idx="24">
                  <c:v>1.75</c:v>
                </c:pt>
                <c:pt idx="25">
                  <c:v>2.25</c:v>
                </c:pt>
                <c:pt idx="26">
                  <c:v>2.25</c:v>
                </c:pt>
                <c:pt idx="27">
                  <c:v>3</c:v>
                </c:pt>
                <c:pt idx="28">
                  <c:v>3.25</c:v>
                </c:pt>
                <c:pt idx="29">
                  <c:v>3.75</c:v>
                </c:pt>
                <c:pt idx="30">
                  <c:v>4</c:v>
                </c:pt>
                <c:pt idx="31">
                  <c:v>4.5</c:v>
                </c:pt>
                <c:pt idx="32">
                  <c:v>4.5</c:v>
                </c:pt>
                <c:pt idx="33">
                  <c:v>5</c:v>
                </c:pt>
                <c:pt idx="34">
                  <c:v>5.25</c:v>
                </c:pt>
                <c:pt idx="35">
                  <c:v>6.25</c:v>
                </c:pt>
                <c:pt idx="36">
                  <c:v>6.25</c:v>
                </c:pt>
                <c:pt idx="37">
                  <c:v>6.25</c:v>
                </c:pt>
                <c:pt idx="38">
                  <c:v>6.75</c:v>
                </c:pt>
                <c:pt idx="39">
                  <c:v>7.75</c:v>
                </c:pt>
                <c:pt idx="40">
                  <c:v>7.5</c:v>
                </c:pt>
              </c:numCache>
            </c:numRef>
          </c:yVal>
        </c:ser>
        <c:axId val="89675264"/>
        <c:axId val="89677184"/>
      </c:scatterChart>
      <c:valAx>
        <c:axId val="8967526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it-IT"/>
                  <a:t>Giorno</a:t>
                </a:r>
              </a:p>
            </c:rich>
          </c:tx>
          <c:layout/>
        </c:title>
        <c:numFmt formatCode="dd\-mmm" sourceLinked="1"/>
        <c:tickLblPos val="nextTo"/>
        <c:crossAx val="89677184"/>
        <c:crosses val="autoZero"/>
        <c:crossBetween val="midCat"/>
      </c:valAx>
      <c:valAx>
        <c:axId val="896771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Declinazione del Sole  a mezzodì (gradi)</a:t>
                </a:r>
              </a:p>
            </c:rich>
          </c:tx>
          <c:layout/>
        </c:title>
        <c:numFmt formatCode="General" sourceLinked="1"/>
        <c:tickLblPos val="nextTo"/>
        <c:crossAx val="89675264"/>
        <c:crosses val="autoZero"/>
        <c:crossBetween val="midCat"/>
      </c:valAx>
    </c:plotArea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Foglio6!$D$6:$D$35</c:f>
              <c:numCache>
                <c:formatCode>dd\-mmm</c:formatCode>
                <c:ptCount val="30"/>
                <c:pt idx="0">
                  <c:v>43159</c:v>
                </c:pt>
                <c:pt idx="1">
                  <c:v>43160</c:v>
                </c:pt>
                <c:pt idx="2">
                  <c:v>43161</c:v>
                </c:pt>
                <c:pt idx="3">
                  <c:v>43163</c:v>
                </c:pt>
                <c:pt idx="4">
                  <c:v>43164</c:v>
                </c:pt>
                <c:pt idx="5">
                  <c:v>43165</c:v>
                </c:pt>
                <c:pt idx="6">
                  <c:v>43166</c:v>
                </c:pt>
                <c:pt idx="7">
                  <c:v>43167</c:v>
                </c:pt>
                <c:pt idx="8">
                  <c:v>43168</c:v>
                </c:pt>
                <c:pt idx="9">
                  <c:v>43170</c:v>
                </c:pt>
                <c:pt idx="10">
                  <c:v>43171</c:v>
                </c:pt>
                <c:pt idx="11">
                  <c:v>43173</c:v>
                </c:pt>
                <c:pt idx="12">
                  <c:v>43174</c:v>
                </c:pt>
                <c:pt idx="13">
                  <c:v>43177</c:v>
                </c:pt>
                <c:pt idx="14">
                  <c:v>43178</c:v>
                </c:pt>
                <c:pt idx="15">
                  <c:v>43179</c:v>
                </c:pt>
                <c:pt idx="16">
                  <c:v>43180</c:v>
                </c:pt>
                <c:pt idx="17">
                  <c:v>43181</c:v>
                </c:pt>
                <c:pt idx="18">
                  <c:v>43183</c:v>
                </c:pt>
                <c:pt idx="19">
                  <c:v>43184</c:v>
                </c:pt>
                <c:pt idx="20">
                  <c:v>43186</c:v>
                </c:pt>
                <c:pt idx="21">
                  <c:v>43187</c:v>
                </c:pt>
                <c:pt idx="22">
                  <c:v>43188</c:v>
                </c:pt>
                <c:pt idx="23">
                  <c:v>43189</c:v>
                </c:pt>
                <c:pt idx="24">
                  <c:v>43190</c:v>
                </c:pt>
                <c:pt idx="25">
                  <c:v>43192</c:v>
                </c:pt>
                <c:pt idx="26">
                  <c:v>43193</c:v>
                </c:pt>
                <c:pt idx="27">
                  <c:v>43196</c:v>
                </c:pt>
                <c:pt idx="28">
                  <c:v>43197</c:v>
                </c:pt>
                <c:pt idx="29">
                  <c:v>43199</c:v>
                </c:pt>
              </c:numCache>
            </c:numRef>
          </c:xVal>
          <c:yVal>
            <c:numRef>
              <c:f>Foglio6!$E$6:$E$35</c:f>
              <c:numCache>
                <c:formatCode>General</c:formatCode>
                <c:ptCount val="30"/>
                <c:pt idx="0">
                  <c:v>-8.25</c:v>
                </c:pt>
                <c:pt idx="1">
                  <c:v>-8</c:v>
                </c:pt>
                <c:pt idx="2">
                  <c:v>-7.25</c:v>
                </c:pt>
                <c:pt idx="3">
                  <c:v>-6.25</c:v>
                </c:pt>
                <c:pt idx="4">
                  <c:v>-5.75</c:v>
                </c:pt>
                <c:pt idx="5">
                  <c:v>-5.25</c:v>
                </c:pt>
                <c:pt idx="6">
                  <c:v>-4.75</c:v>
                </c:pt>
                <c:pt idx="7">
                  <c:v>-4.5</c:v>
                </c:pt>
                <c:pt idx="8">
                  <c:v>-4.25</c:v>
                </c:pt>
                <c:pt idx="9">
                  <c:v>-3.5</c:v>
                </c:pt>
                <c:pt idx="10">
                  <c:v>-3</c:v>
                </c:pt>
                <c:pt idx="11">
                  <c:v>-2.25</c:v>
                </c:pt>
                <c:pt idx="12">
                  <c:v>-1.75</c:v>
                </c:pt>
                <c:pt idx="13">
                  <c:v>-1</c:v>
                </c:pt>
                <c:pt idx="14">
                  <c:v>-0.5</c:v>
                </c:pt>
                <c:pt idx="15">
                  <c:v>0</c:v>
                </c:pt>
                <c:pt idx="16">
                  <c:v>0.5</c:v>
                </c:pt>
                <c:pt idx="17">
                  <c:v>1</c:v>
                </c:pt>
                <c:pt idx="18">
                  <c:v>1.75</c:v>
                </c:pt>
                <c:pt idx="19">
                  <c:v>2.25</c:v>
                </c:pt>
                <c:pt idx="20">
                  <c:v>3</c:v>
                </c:pt>
                <c:pt idx="21">
                  <c:v>3.25</c:v>
                </c:pt>
                <c:pt idx="22">
                  <c:v>3.75</c:v>
                </c:pt>
                <c:pt idx="23">
                  <c:v>4</c:v>
                </c:pt>
                <c:pt idx="24">
                  <c:v>4.5</c:v>
                </c:pt>
                <c:pt idx="25">
                  <c:v>5</c:v>
                </c:pt>
                <c:pt idx="26">
                  <c:v>5.25</c:v>
                </c:pt>
                <c:pt idx="27">
                  <c:v>6.25</c:v>
                </c:pt>
                <c:pt idx="28">
                  <c:v>6.75</c:v>
                </c:pt>
                <c:pt idx="29">
                  <c:v>7.5</c:v>
                </c:pt>
              </c:numCache>
            </c:numRef>
          </c:yVal>
        </c:ser>
        <c:axId val="90430080"/>
        <c:axId val="90440064"/>
      </c:scatterChart>
      <c:valAx>
        <c:axId val="90430080"/>
        <c:scaling>
          <c:orientation val="minMax"/>
        </c:scaling>
        <c:axPos val="b"/>
        <c:numFmt formatCode="dd\-mmm" sourceLinked="1"/>
        <c:tickLblPos val="nextTo"/>
        <c:crossAx val="90440064"/>
        <c:crosses val="autoZero"/>
        <c:crossBetween val="midCat"/>
      </c:valAx>
      <c:valAx>
        <c:axId val="90440064"/>
        <c:scaling>
          <c:orientation val="minMax"/>
        </c:scaling>
        <c:axPos val="l"/>
        <c:majorGridlines/>
        <c:numFmt formatCode="General" sourceLinked="1"/>
        <c:tickLblPos val="nextTo"/>
        <c:crossAx val="9043008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23</xdr:row>
      <xdr:rowOff>95250</xdr:rowOff>
    </xdr:from>
    <xdr:to>
      <xdr:col>24</xdr:col>
      <xdr:colOff>104775</xdr:colOff>
      <xdr:row>50</xdr:row>
      <xdr:rowOff>104775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47624</xdr:colOff>
      <xdr:row>4</xdr:row>
      <xdr:rowOff>85725</xdr:rowOff>
    </xdr:from>
    <xdr:to>
      <xdr:col>49</xdr:col>
      <xdr:colOff>323849</xdr:colOff>
      <xdr:row>22</xdr:row>
      <xdr:rowOff>114300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U139"/>
  <sheetViews>
    <sheetView workbookViewId="0">
      <selection activeCell="N47" sqref="N47"/>
    </sheetView>
  </sheetViews>
  <sheetFormatPr defaultRowHeight="15"/>
  <cols>
    <col min="5" max="5" width="9.7109375" bestFit="1" customWidth="1"/>
    <col min="7" max="7" width="19.28515625" customWidth="1"/>
    <col min="8" max="8" width="18.28515625" customWidth="1"/>
    <col min="9" max="9" width="19" customWidth="1"/>
    <col min="10" max="10" width="14" customWidth="1"/>
    <col min="11" max="11" width="10.140625" customWidth="1"/>
    <col min="15" max="15" width="11.42578125" customWidth="1"/>
    <col min="16" max="16" width="17.85546875" customWidth="1"/>
    <col min="17" max="17" width="16.140625" customWidth="1"/>
  </cols>
  <sheetData>
    <row r="3" spans="3:17" ht="15.75" thickBot="1"/>
    <row r="4" spans="3:17" ht="46.5" thickTop="1" thickBot="1">
      <c r="C4" s="1" t="s">
        <v>0</v>
      </c>
      <c r="D4" s="71" t="s">
        <v>8</v>
      </c>
      <c r="E4" s="72"/>
      <c r="F4" s="73"/>
      <c r="G4" s="1" t="s">
        <v>8</v>
      </c>
      <c r="H4" s="1" t="s">
        <v>9</v>
      </c>
      <c r="I4" s="16" t="s">
        <v>11</v>
      </c>
      <c r="J4" s="32" t="s">
        <v>13</v>
      </c>
      <c r="M4" s="75" t="s">
        <v>6</v>
      </c>
      <c r="N4" s="76"/>
      <c r="O4" s="77"/>
      <c r="P4" s="1" t="s">
        <v>6</v>
      </c>
      <c r="Q4" s="31" t="s">
        <v>12</v>
      </c>
    </row>
    <row r="5" spans="3:17" ht="16.5" thickTop="1" thickBot="1"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5</v>
      </c>
      <c r="I5" s="17" t="s">
        <v>5</v>
      </c>
      <c r="J5" s="15" t="s">
        <v>5</v>
      </c>
      <c r="M5" s="18" t="s">
        <v>2</v>
      </c>
      <c r="N5" s="18" t="s">
        <v>7</v>
      </c>
      <c r="O5" s="18" t="s">
        <v>4</v>
      </c>
      <c r="P5" s="2" t="s">
        <v>5</v>
      </c>
      <c r="Q5" s="18" t="s">
        <v>5</v>
      </c>
    </row>
    <row r="6" spans="3:17" ht="16.5" thickTop="1" thickBot="1">
      <c r="C6" s="3">
        <v>43524</v>
      </c>
      <c r="D6" s="53">
        <v>40</v>
      </c>
      <c r="E6" s="53">
        <v>14</v>
      </c>
      <c r="F6" s="54">
        <v>19.100000000000001</v>
      </c>
      <c r="G6" s="57">
        <f t="shared" ref="G6:G17" si="0">D6+E6/60+F6/3600</f>
        <v>40.238638888888893</v>
      </c>
      <c r="H6" s="57">
        <f t="shared" ref="H6:H17" ca="1" si="1" xml:space="preserve"> SQRT(-2*LN(RAND()))*COS(2*PI()*RAND())*$E$48+G6</f>
        <v>40.451725042870116</v>
      </c>
      <c r="I6" s="57">
        <f t="shared" ref="I6:I17" ca="1" si="2">IF(ABS(INT(H6/$E$48)*$E$48-H6)&lt;= ABS((INT(H6/$E$48)+1)*$E$48-H6),INT(H6/$E$48)*$E$48,(INT(H6/$E$48)+1)*$E$48)</f>
        <v>40.5</v>
      </c>
      <c r="J6" s="60">
        <f t="shared" ref="J6:J17" ca="1" si="3">I6-90+$Q$6</f>
        <v>-7.5</v>
      </c>
      <c r="M6" s="18">
        <v>41</v>
      </c>
      <c r="N6" s="18">
        <v>54</v>
      </c>
      <c r="O6" s="18">
        <v>30.95</v>
      </c>
      <c r="P6" s="15">
        <v>41.90859722222222</v>
      </c>
      <c r="Q6" s="18">
        <v>42</v>
      </c>
    </row>
    <row r="7" spans="3:17" ht="15.75" thickTop="1">
      <c r="C7" s="3">
        <v>43525</v>
      </c>
      <c r="D7" s="55">
        <v>40</v>
      </c>
      <c r="E7" s="55">
        <v>37</v>
      </c>
      <c r="F7" s="56">
        <v>3.4</v>
      </c>
      <c r="G7" s="55">
        <f t="shared" si="0"/>
        <v>40.61761111111111</v>
      </c>
      <c r="H7" s="55">
        <f t="shared" ca="1" si="1"/>
        <v>40.431636327107078</v>
      </c>
      <c r="I7" s="55">
        <f t="shared" ca="1" si="2"/>
        <v>40.5</v>
      </c>
      <c r="J7" s="61">
        <f t="shared" ca="1" si="3"/>
        <v>-7.5</v>
      </c>
      <c r="M7" s="58"/>
      <c r="N7" s="58"/>
      <c r="O7" s="58"/>
      <c r="P7" s="50"/>
      <c r="Q7" s="58"/>
    </row>
    <row r="8" spans="3:17">
      <c r="C8" s="3">
        <v>43526</v>
      </c>
      <c r="D8" s="53">
        <v>40</v>
      </c>
      <c r="E8" s="53">
        <v>59</v>
      </c>
      <c r="F8" s="54">
        <v>54.1</v>
      </c>
      <c r="G8" s="53">
        <f t="shared" si="0"/>
        <v>40.998361111111109</v>
      </c>
      <c r="H8" s="53">
        <f t="shared" ca="1" si="1"/>
        <v>40.887720814043689</v>
      </c>
      <c r="I8" s="53">
        <f t="shared" ca="1" si="2"/>
        <v>41</v>
      </c>
      <c r="J8" s="62">
        <f t="shared" ca="1" si="3"/>
        <v>-7</v>
      </c>
      <c r="M8" s="52"/>
      <c r="N8" s="52"/>
      <c r="O8" s="52"/>
      <c r="P8" s="51"/>
      <c r="Q8" s="52"/>
    </row>
    <row r="9" spans="3:17">
      <c r="C9" s="3">
        <v>43527</v>
      </c>
      <c r="D9" s="55">
        <v>41</v>
      </c>
      <c r="E9" s="55">
        <v>22</v>
      </c>
      <c r="F9" s="56">
        <v>50.8</v>
      </c>
      <c r="G9" s="55">
        <f t="shared" si="0"/>
        <v>41.38077777777778</v>
      </c>
      <c r="H9" s="55">
        <f t="shared" ca="1" si="1"/>
        <v>41.200559288318829</v>
      </c>
      <c r="I9" s="55">
        <f t="shared" ca="1" si="2"/>
        <v>41.25</v>
      </c>
      <c r="J9" s="61">
        <f t="shared" ca="1" si="3"/>
        <v>-6.75</v>
      </c>
      <c r="M9" s="52"/>
      <c r="N9" s="52"/>
      <c r="O9" s="52"/>
      <c r="P9" s="51"/>
      <c r="Q9" s="52"/>
    </row>
    <row r="10" spans="3:17">
      <c r="C10" s="3">
        <v>43528</v>
      </c>
      <c r="D10" s="53">
        <v>41</v>
      </c>
      <c r="E10" s="53">
        <v>45</v>
      </c>
      <c r="F10" s="54">
        <v>53.3</v>
      </c>
      <c r="G10" s="53">
        <f t="shared" si="0"/>
        <v>41.764805555555554</v>
      </c>
      <c r="H10" s="53">
        <f t="shared" ca="1" si="1"/>
        <v>41.649289948699824</v>
      </c>
      <c r="I10" s="53">
        <f t="shared" ca="1" si="2"/>
        <v>41.75</v>
      </c>
      <c r="J10" s="62">
        <f t="shared" ca="1" si="3"/>
        <v>-6.25</v>
      </c>
      <c r="M10" s="52"/>
      <c r="N10" s="52"/>
      <c r="O10" s="52"/>
      <c r="P10" s="51"/>
      <c r="Q10" s="52"/>
    </row>
    <row r="11" spans="3:17">
      <c r="C11" s="3">
        <v>43529</v>
      </c>
      <c r="D11" s="55">
        <v>42</v>
      </c>
      <c r="E11" s="55">
        <v>9</v>
      </c>
      <c r="F11" s="56">
        <v>1.1000000000000001</v>
      </c>
      <c r="G11" s="55">
        <f t="shared" si="0"/>
        <v>42.150305555555555</v>
      </c>
      <c r="H11" s="55">
        <f t="shared" ca="1" si="1"/>
        <v>42.460149598684936</v>
      </c>
      <c r="I11" s="55">
        <f t="shared" ca="1" si="2"/>
        <v>42.5</v>
      </c>
      <c r="J11" s="61">
        <f t="shared" ca="1" si="3"/>
        <v>-5.5</v>
      </c>
      <c r="M11" s="52"/>
      <c r="N11" s="52"/>
      <c r="O11" s="52"/>
      <c r="P11" s="51"/>
      <c r="Q11" s="52"/>
    </row>
    <row r="12" spans="3:17">
      <c r="C12" s="3">
        <v>43530</v>
      </c>
      <c r="D12" s="53">
        <v>42</v>
      </c>
      <c r="E12" s="53">
        <v>32</v>
      </c>
      <c r="F12" s="54">
        <v>13.8</v>
      </c>
      <c r="G12" s="53">
        <f t="shared" si="0"/>
        <v>42.537166666666664</v>
      </c>
      <c r="H12" s="53">
        <f t="shared" ca="1" si="1"/>
        <v>42.764929525174523</v>
      </c>
      <c r="I12" s="53">
        <f t="shared" ca="1" si="2"/>
        <v>42.75</v>
      </c>
      <c r="J12" s="62">
        <f t="shared" ca="1" si="3"/>
        <v>-5.25</v>
      </c>
      <c r="M12" s="52"/>
      <c r="N12" s="52"/>
      <c r="O12" s="52"/>
      <c r="P12" s="51"/>
      <c r="Q12" s="52"/>
    </row>
    <row r="13" spans="3:17">
      <c r="C13" s="3">
        <v>43531</v>
      </c>
      <c r="D13" s="55">
        <v>42</v>
      </c>
      <c r="E13" s="55">
        <v>55</v>
      </c>
      <c r="F13" s="56">
        <v>31.2</v>
      </c>
      <c r="G13" s="55">
        <f t="shared" si="0"/>
        <v>42.925333333333334</v>
      </c>
      <c r="H13" s="55">
        <f t="shared" ca="1" si="1"/>
        <v>43.201798388648321</v>
      </c>
      <c r="I13" s="55">
        <f t="shared" ca="1" si="2"/>
        <v>43.25</v>
      </c>
      <c r="J13" s="61">
        <f t="shared" ca="1" si="3"/>
        <v>-4.75</v>
      </c>
      <c r="M13" s="52"/>
      <c r="N13" s="52"/>
      <c r="O13" s="52"/>
      <c r="P13" s="51"/>
      <c r="Q13" s="52"/>
    </row>
    <row r="14" spans="3:17">
      <c r="C14" s="3">
        <v>43532</v>
      </c>
      <c r="D14" s="53">
        <v>43</v>
      </c>
      <c r="E14" s="53">
        <v>18</v>
      </c>
      <c r="F14" s="54">
        <v>52.8</v>
      </c>
      <c r="G14" s="53">
        <f t="shared" si="0"/>
        <v>43.31466666666666</v>
      </c>
      <c r="H14" s="53">
        <f t="shared" ca="1" si="1"/>
        <v>43.51001593349212</v>
      </c>
      <c r="I14" s="53">
        <f t="shared" ca="1" si="2"/>
        <v>43.5</v>
      </c>
      <c r="J14" s="62">
        <f t="shared" ca="1" si="3"/>
        <v>-4.5</v>
      </c>
      <c r="M14" s="52"/>
      <c r="N14" s="52"/>
      <c r="O14" s="52"/>
      <c r="P14" s="51"/>
      <c r="Q14" s="52"/>
    </row>
    <row r="15" spans="3:17">
      <c r="C15" s="3">
        <v>43533</v>
      </c>
      <c r="D15" s="55">
        <v>43</v>
      </c>
      <c r="E15" s="55">
        <v>42</v>
      </c>
      <c r="F15" s="56">
        <v>18.2</v>
      </c>
      <c r="G15" s="55">
        <f t="shared" si="0"/>
        <v>43.70505555555556</v>
      </c>
      <c r="H15" s="55">
        <f t="shared" ca="1" si="1"/>
        <v>43.978188340117377</v>
      </c>
      <c r="I15" s="55">
        <f t="shared" ca="1" si="2"/>
        <v>44</v>
      </c>
      <c r="J15" s="61">
        <f t="shared" ca="1" si="3"/>
        <v>-4</v>
      </c>
      <c r="M15" s="52"/>
      <c r="N15" s="52"/>
      <c r="O15" s="52"/>
      <c r="P15" s="51"/>
      <c r="Q15" s="52"/>
    </row>
    <row r="16" spans="3:17">
      <c r="C16" s="3">
        <v>43534</v>
      </c>
      <c r="D16" s="53">
        <v>44</v>
      </c>
      <c r="E16" s="53">
        <v>5</v>
      </c>
      <c r="F16" s="54">
        <v>47.1</v>
      </c>
      <c r="G16" s="53">
        <f t="shared" si="0"/>
        <v>44.09641666666667</v>
      </c>
      <c r="H16" s="53">
        <f t="shared" ca="1" si="1"/>
        <v>43.914401929376076</v>
      </c>
      <c r="I16" s="53">
        <f t="shared" ca="1" si="2"/>
        <v>44</v>
      </c>
      <c r="J16" s="62">
        <f t="shared" ca="1" si="3"/>
        <v>-4</v>
      </c>
      <c r="M16" s="52"/>
      <c r="N16" s="52"/>
      <c r="O16" s="52"/>
      <c r="P16" s="51"/>
      <c r="Q16" s="52"/>
    </row>
    <row r="17" spans="3:17">
      <c r="C17" s="3">
        <v>43535</v>
      </c>
      <c r="D17" s="55">
        <v>44</v>
      </c>
      <c r="E17" s="55">
        <v>29</v>
      </c>
      <c r="F17" s="56">
        <v>19.100000000000001</v>
      </c>
      <c r="G17" s="55">
        <f t="shared" si="0"/>
        <v>44.488638888888893</v>
      </c>
      <c r="H17" s="55">
        <f t="shared" ca="1" si="1"/>
        <v>44.626510733172232</v>
      </c>
      <c r="I17" s="55">
        <f t="shared" ca="1" si="2"/>
        <v>44.75</v>
      </c>
      <c r="J17" s="61">
        <f t="shared" ca="1" si="3"/>
        <v>-3.25</v>
      </c>
      <c r="M17" s="52"/>
      <c r="N17" s="52"/>
      <c r="O17" s="52"/>
      <c r="P17" s="51"/>
      <c r="Q17" s="52"/>
    </row>
    <row r="18" spans="3:17">
      <c r="C18" s="3">
        <v>43536</v>
      </c>
      <c r="D18" s="4">
        <v>44</v>
      </c>
      <c r="E18" s="4">
        <v>52</v>
      </c>
      <c r="F18" s="22">
        <v>53.8</v>
      </c>
      <c r="G18" s="26">
        <f>D18+E18/60+F18/3600</f>
        <v>44.881611111111113</v>
      </c>
      <c r="H18" s="26">
        <f ca="1" xml:space="preserve"> SQRT(-2*LN(RAND()))*COS(2*PI()*RAND())*$E$48+G18</f>
        <v>44.589655099301638</v>
      </c>
      <c r="I18" s="29">
        <f ca="1">IF(ABS(INT(H18/$E$48)*$E$48-H18)&lt;= ABS((INT(H18/$E$48)+1)*$E$48-H18),INT(H18/$E$48)*$E$48,(INT(H18/$E$48)+1)*$E$48)</f>
        <v>44.5</v>
      </c>
      <c r="J18" s="29">
        <f ca="1">I18-90+$Q$6</f>
        <v>-3.5</v>
      </c>
      <c r="M18" s="59"/>
      <c r="N18" s="59"/>
      <c r="O18" s="59"/>
      <c r="P18" s="59"/>
      <c r="Q18" s="59"/>
    </row>
    <row r="19" spans="3:17">
      <c r="C19" s="3">
        <v>43537</v>
      </c>
      <c r="D19" s="4">
        <v>45</v>
      </c>
      <c r="E19" s="4">
        <v>16</v>
      </c>
      <c r="F19" s="22">
        <v>30.7</v>
      </c>
      <c r="G19" s="26">
        <f t="shared" ref="G19:G46" si="4">D19+E19/60+F19/3600</f>
        <v>45.275194444444445</v>
      </c>
      <c r="H19" s="26">
        <f t="shared" ref="H19:H46" ca="1" si="5" xml:space="preserve"> SQRT(-2*LN(RAND()))*COS(2*PI()*RAND())*$E$48+G19</f>
        <v>45.191411036752882</v>
      </c>
      <c r="I19" s="29">
        <f t="shared" ref="I19:I46" ca="1" si="6">IF(ABS(INT(H19/$E$48)*$E$48-H19)&lt;= ABS((INT(H19/$E$48)+1)*$E$48-H19),INT(H19/$E$48)*$E$48,(INT(H19/$E$48)+1)*$E$48)</f>
        <v>45.25</v>
      </c>
      <c r="J19" s="29">
        <f t="shared" ref="J19:J46" ca="1" si="7">I19-90+$Q$6</f>
        <v>-2.75</v>
      </c>
    </row>
    <row r="20" spans="3:17">
      <c r="C20" s="3">
        <v>43538</v>
      </c>
      <c r="D20" s="4">
        <v>45</v>
      </c>
      <c r="E20" s="4">
        <v>40</v>
      </c>
      <c r="F20" s="22">
        <v>9.6</v>
      </c>
      <c r="G20" s="26">
        <f t="shared" si="4"/>
        <v>45.669333333333334</v>
      </c>
      <c r="H20" s="26">
        <f t="shared" ca="1" si="5"/>
        <v>45.365246777934537</v>
      </c>
      <c r="I20" s="29">
        <f t="shared" ca="1" si="6"/>
        <v>45.25</v>
      </c>
      <c r="J20" s="29">
        <f t="shared" ca="1" si="7"/>
        <v>-2.75</v>
      </c>
    </row>
    <row r="21" spans="3:17">
      <c r="C21" s="3">
        <v>43539</v>
      </c>
      <c r="D21" s="4">
        <v>46</v>
      </c>
      <c r="E21" s="4">
        <v>3</v>
      </c>
      <c r="F21" s="22">
        <v>50.1</v>
      </c>
      <c r="G21" s="26">
        <f t="shared" si="4"/>
        <v>46.063916666666664</v>
      </c>
      <c r="H21" s="26">
        <f t="shared" ca="1" si="5"/>
        <v>46.01892815389791</v>
      </c>
      <c r="I21" s="29">
        <f t="shared" ca="1" si="6"/>
        <v>46</v>
      </c>
      <c r="J21" s="29">
        <f t="shared" ca="1" si="7"/>
        <v>-2</v>
      </c>
    </row>
    <row r="22" spans="3:17">
      <c r="C22" s="3">
        <v>43540</v>
      </c>
      <c r="D22" s="4">
        <v>46</v>
      </c>
      <c r="E22" s="4">
        <v>27</v>
      </c>
      <c r="F22" s="22">
        <v>31.6</v>
      </c>
      <c r="G22" s="26">
        <f t="shared" si="4"/>
        <v>46.458777777777783</v>
      </c>
      <c r="H22" s="26">
        <f t="shared" ca="1" si="5"/>
        <v>46.596971737948081</v>
      </c>
      <c r="I22" s="29">
        <f t="shared" ca="1" si="6"/>
        <v>46.5</v>
      </c>
      <c r="J22" s="29">
        <f t="shared" ca="1" si="7"/>
        <v>-1.5</v>
      </c>
    </row>
    <row r="23" spans="3:17">
      <c r="C23" s="3">
        <v>43541</v>
      </c>
      <c r="D23" s="4">
        <v>46</v>
      </c>
      <c r="E23" s="4">
        <v>51</v>
      </c>
      <c r="F23" s="22">
        <v>14</v>
      </c>
      <c r="G23" s="26">
        <f t="shared" si="4"/>
        <v>46.853888888888889</v>
      </c>
      <c r="H23" s="26">
        <f t="shared" ca="1" si="5"/>
        <v>46.87877383497338</v>
      </c>
      <c r="I23" s="29">
        <f t="shared" ca="1" si="6"/>
        <v>47</v>
      </c>
      <c r="J23" s="29">
        <f t="shared" ca="1" si="7"/>
        <v>-1</v>
      </c>
    </row>
    <row r="24" spans="3:17">
      <c r="C24" s="5">
        <v>43542</v>
      </c>
      <c r="D24" s="6">
        <v>47</v>
      </c>
      <c r="E24" s="6">
        <v>14</v>
      </c>
      <c r="F24" s="23">
        <v>56.8</v>
      </c>
      <c r="G24" s="26">
        <f t="shared" si="4"/>
        <v>47.249111111111112</v>
      </c>
      <c r="H24" s="26">
        <f t="shared" ca="1" si="5"/>
        <v>47.177864741994668</v>
      </c>
      <c r="I24" s="29">
        <f t="shared" ca="1" si="6"/>
        <v>47.25</v>
      </c>
      <c r="J24" s="29">
        <f t="shared" ca="1" si="7"/>
        <v>-0.75</v>
      </c>
    </row>
    <row r="25" spans="3:17">
      <c r="C25" s="3">
        <v>43543</v>
      </c>
      <c r="D25" s="7">
        <v>47</v>
      </c>
      <c r="E25" s="7">
        <v>38</v>
      </c>
      <c r="F25" s="22">
        <v>49.9</v>
      </c>
      <c r="G25" s="26">
        <f t="shared" si="4"/>
        <v>47.647194444444445</v>
      </c>
      <c r="H25" s="26">
        <f t="shared" ca="1" si="5"/>
        <v>47.918041943495396</v>
      </c>
      <c r="I25" s="29">
        <f t="shared" ca="1" si="6"/>
        <v>48</v>
      </c>
      <c r="J25" s="29">
        <f t="shared" ca="1" si="7"/>
        <v>0</v>
      </c>
    </row>
    <row r="26" spans="3:17">
      <c r="C26" s="8">
        <v>43544</v>
      </c>
      <c r="D26" s="9">
        <v>48</v>
      </c>
      <c r="E26" s="10">
        <v>2</v>
      </c>
      <c r="F26" s="24">
        <v>32.4</v>
      </c>
      <c r="G26" s="26">
        <f t="shared" si="4"/>
        <v>48.042333333333332</v>
      </c>
      <c r="H26" s="26">
        <f t="shared" ca="1" si="5"/>
        <v>48.1375833472705</v>
      </c>
      <c r="I26" s="29">
        <f t="shared" ca="1" si="6"/>
        <v>48.25</v>
      </c>
      <c r="J26" s="29">
        <f t="shared" ca="1" si="7"/>
        <v>0.25</v>
      </c>
    </row>
    <row r="27" spans="3:17">
      <c r="C27" s="3">
        <v>43545</v>
      </c>
      <c r="D27" s="11">
        <v>48</v>
      </c>
      <c r="E27" s="7">
        <v>26</v>
      </c>
      <c r="F27" s="22">
        <v>14.2</v>
      </c>
      <c r="G27" s="26">
        <f t="shared" si="4"/>
        <v>48.437277777777773</v>
      </c>
      <c r="H27" s="26">
        <f t="shared" ca="1" si="5"/>
        <v>49.124074554697977</v>
      </c>
      <c r="I27" s="29">
        <f t="shared" ca="1" si="6"/>
        <v>49</v>
      </c>
      <c r="J27" s="29">
        <f t="shared" ca="1" si="7"/>
        <v>1</v>
      </c>
    </row>
    <row r="28" spans="3:17">
      <c r="C28" s="8">
        <v>43546</v>
      </c>
      <c r="D28" s="9">
        <v>48</v>
      </c>
      <c r="E28" s="10">
        <v>49</v>
      </c>
      <c r="F28" s="24">
        <v>54.8</v>
      </c>
      <c r="G28" s="26">
        <f t="shared" si="4"/>
        <v>48.831888888888891</v>
      </c>
      <c r="H28" s="26">
        <f t="shared" ca="1" si="5"/>
        <v>49.096900706540211</v>
      </c>
      <c r="I28" s="29">
        <f t="shared" ca="1" si="6"/>
        <v>49</v>
      </c>
      <c r="J28" s="29">
        <f t="shared" ca="1" si="7"/>
        <v>1</v>
      </c>
    </row>
    <row r="29" spans="3:17">
      <c r="C29" s="12">
        <v>43547</v>
      </c>
      <c r="D29" s="13">
        <v>49</v>
      </c>
      <c r="E29" s="14">
        <v>13</v>
      </c>
      <c r="F29" s="25">
        <v>33.9</v>
      </c>
      <c r="G29" s="26">
        <f t="shared" si="4"/>
        <v>49.226083333333335</v>
      </c>
      <c r="H29" s="26">
        <f t="shared" ca="1" si="5"/>
        <v>49.559062529876577</v>
      </c>
      <c r="I29" s="29">
        <f t="shared" ca="1" si="6"/>
        <v>49.5</v>
      </c>
      <c r="J29" s="29">
        <f t="shared" ca="1" si="7"/>
        <v>1.5</v>
      </c>
    </row>
    <row r="30" spans="3:17">
      <c r="C30" s="8">
        <v>43548</v>
      </c>
      <c r="D30" s="9">
        <v>49</v>
      </c>
      <c r="E30" s="10">
        <v>37</v>
      </c>
      <c r="F30" s="24">
        <v>11</v>
      </c>
      <c r="G30" s="26">
        <f t="shared" si="4"/>
        <v>49.619722222222222</v>
      </c>
      <c r="H30" s="26">
        <f t="shared" ca="1" si="5"/>
        <v>49.757907565658741</v>
      </c>
      <c r="I30" s="29">
        <f t="shared" ca="1" si="6"/>
        <v>49.75</v>
      </c>
      <c r="J30" s="29">
        <f t="shared" ca="1" si="7"/>
        <v>1.75</v>
      </c>
    </row>
    <row r="31" spans="3:17">
      <c r="C31" s="12">
        <v>43549</v>
      </c>
      <c r="D31" s="13">
        <v>50</v>
      </c>
      <c r="E31" s="14">
        <v>0</v>
      </c>
      <c r="F31" s="25">
        <v>45.9</v>
      </c>
      <c r="G31" s="26">
        <f t="shared" si="4"/>
        <v>50.012749999999997</v>
      </c>
      <c r="H31" s="26">
        <f t="shared" ca="1" si="5"/>
        <v>49.874258291990742</v>
      </c>
      <c r="I31" s="29">
        <f t="shared" ca="1" si="6"/>
        <v>49.75</v>
      </c>
      <c r="J31" s="29">
        <f t="shared" ca="1" si="7"/>
        <v>1.75</v>
      </c>
    </row>
    <row r="32" spans="3:17">
      <c r="C32" s="8">
        <v>43550</v>
      </c>
      <c r="D32" s="9">
        <v>50</v>
      </c>
      <c r="E32" s="10">
        <v>24</v>
      </c>
      <c r="F32" s="24">
        <v>18.2</v>
      </c>
      <c r="G32" s="26">
        <f t="shared" si="4"/>
        <v>50.405055555555556</v>
      </c>
      <c r="H32" s="26">
        <f t="shared" ca="1" si="5"/>
        <v>50.803751506224302</v>
      </c>
      <c r="I32" s="29">
        <f t="shared" ca="1" si="6"/>
        <v>50.75</v>
      </c>
      <c r="J32" s="29">
        <f t="shared" ca="1" si="7"/>
        <v>2.75</v>
      </c>
    </row>
    <row r="33" spans="3:10">
      <c r="C33" s="12">
        <v>43551</v>
      </c>
      <c r="D33" s="13">
        <v>50</v>
      </c>
      <c r="E33" s="14">
        <v>47</v>
      </c>
      <c r="F33" s="25">
        <v>47.5</v>
      </c>
      <c r="G33" s="26">
        <f t="shared" si="4"/>
        <v>50.796527777777776</v>
      </c>
      <c r="H33" s="26">
        <f t="shared" ca="1" si="5"/>
        <v>50.727456363914598</v>
      </c>
      <c r="I33" s="29">
        <f t="shared" ca="1" si="6"/>
        <v>50.75</v>
      </c>
      <c r="J33" s="29">
        <f t="shared" ca="1" si="7"/>
        <v>2.75</v>
      </c>
    </row>
    <row r="34" spans="3:10">
      <c r="C34" s="8">
        <v>43552</v>
      </c>
      <c r="D34" s="9">
        <v>51</v>
      </c>
      <c r="E34" s="10">
        <v>11</v>
      </c>
      <c r="F34" s="24">
        <v>13.5</v>
      </c>
      <c r="G34" s="26">
        <f t="shared" si="4"/>
        <v>51.187083333333327</v>
      </c>
      <c r="H34" s="26">
        <f t="shared" ca="1" si="5"/>
        <v>50.988436721527627</v>
      </c>
      <c r="I34" s="29">
        <f t="shared" ca="1" si="6"/>
        <v>51</v>
      </c>
      <c r="J34" s="29">
        <f t="shared" ca="1" si="7"/>
        <v>3</v>
      </c>
    </row>
    <row r="35" spans="3:10">
      <c r="C35" s="12">
        <v>43553</v>
      </c>
      <c r="D35" s="13">
        <v>51</v>
      </c>
      <c r="E35" s="14">
        <v>34</v>
      </c>
      <c r="F35" s="25">
        <v>35.799999999999997</v>
      </c>
      <c r="G35" s="26">
        <f t="shared" si="4"/>
        <v>51.576611111111113</v>
      </c>
      <c r="H35" s="26">
        <f t="shared" ca="1" si="5"/>
        <v>51.289111007244252</v>
      </c>
      <c r="I35" s="29">
        <f t="shared" ca="1" si="6"/>
        <v>51.25</v>
      </c>
      <c r="J35" s="29">
        <f t="shared" ca="1" si="7"/>
        <v>3.25</v>
      </c>
    </row>
    <row r="36" spans="3:10">
      <c r="C36" s="8">
        <v>43554</v>
      </c>
      <c r="D36" s="9">
        <v>51</v>
      </c>
      <c r="E36" s="10">
        <v>57</v>
      </c>
      <c r="F36" s="24">
        <v>54.2</v>
      </c>
      <c r="G36" s="26">
        <f t="shared" si="4"/>
        <v>51.965055555555558</v>
      </c>
      <c r="H36" s="26">
        <f t="shared" ca="1" si="5"/>
        <v>51.88475061750232</v>
      </c>
      <c r="I36" s="29">
        <f t="shared" ca="1" si="6"/>
        <v>52</v>
      </c>
      <c r="J36" s="29">
        <f t="shared" ca="1" si="7"/>
        <v>4</v>
      </c>
    </row>
    <row r="37" spans="3:10">
      <c r="C37" s="12">
        <v>43555</v>
      </c>
      <c r="D37" s="13">
        <v>52</v>
      </c>
      <c r="E37" s="14">
        <v>21</v>
      </c>
      <c r="F37" s="25">
        <v>8.3000000000000007</v>
      </c>
      <c r="G37" s="26">
        <f t="shared" si="4"/>
        <v>52.35230555555556</v>
      </c>
      <c r="H37" s="26">
        <f t="shared" ca="1" si="5"/>
        <v>52.171322922479668</v>
      </c>
      <c r="I37" s="29">
        <f t="shared" ca="1" si="6"/>
        <v>52.25</v>
      </c>
      <c r="J37" s="29">
        <f t="shared" ca="1" si="7"/>
        <v>4.25</v>
      </c>
    </row>
    <row r="38" spans="3:10">
      <c r="C38" s="8">
        <v>43556</v>
      </c>
      <c r="D38" s="9">
        <v>52</v>
      </c>
      <c r="E38" s="10">
        <v>44</v>
      </c>
      <c r="F38" s="24">
        <v>17.8</v>
      </c>
      <c r="G38" s="26">
        <f t="shared" si="4"/>
        <v>52.738277777777782</v>
      </c>
      <c r="H38" s="26">
        <f t="shared" ca="1" si="5"/>
        <v>52.962831871787039</v>
      </c>
      <c r="I38" s="29">
        <f t="shared" ca="1" si="6"/>
        <v>53</v>
      </c>
      <c r="J38" s="29">
        <f t="shared" ca="1" si="7"/>
        <v>5</v>
      </c>
    </row>
    <row r="39" spans="3:10">
      <c r="C39" s="12">
        <v>43557</v>
      </c>
      <c r="D39" s="13">
        <v>53</v>
      </c>
      <c r="E39" s="14">
        <v>7</v>
      </c>
      <c r="F39" s="25">
        <v>22.2</v>
      </c>
      <c r="G39" s="26">
        <f t="shared" si="4"/>
        <v>53.122833333333332</v>
      </c>
      <c r="H39" s="26">
        <f t="shared" ca="1" si="5"/>
        <v>53.399447546947158</v>
      </c>
      <c r="I39" s="29">
        <f t="shared" ca="1" si="6"/>
        <v>53.5</v>
      </c>
      <c r="J39" s="29">
        <f t="shared" ca="1" si="7"/>
        <v>5.5</v>
      </c>
    </row>
    <row r="40" spans="3:10">
      <c r="C40" s="8">
        <v>43558</v>
      </c>
      <c r="D40" s="9">
        <v>53</v>
      </c>
      <c r="E40" s="10">
        <v>30</v>
      </c>
      <c r="F40" s="24">
        <v>21.3</v>
      </c>
      <c r="G40" s="26">
        <f t="shared" si="4"/>
        <v>53.505916666666664</v>
      </c>
      <c r="H40" s="26">
        <f t="shared" ca="1" si="5"/>
        <v>53.172966659241141</v>
      </c>
      <c r="I40" s="29">
        <f t="shared" ca="1" si="6"/>
        <v>53.25</v>
      </c>
      <c r="J40" s="29">
        <f t="shared" ca="1" si="7"/>
        <v>5.25</v>
      </c>
    </row>
    <row r="41" spans="3:10">
      <c r="C41" s="8">
        <v>44290</v>
      </c>
      <c r="D41" s="10">
        <v>53</v>
      </c>
      <c r="E41" s="10">
        <v>53</v>
      </c>
      <c r="F41" s="39">
        <v>4.0999999999999996</v>
      </c>
      <c r="G41" s="26">
        <f t="shared" si="4"/>
        <v>53.884472222222222</v>
      </c>
      <c r="H41" s="26">
        <f t="shared" ca="1" si="5"/>
        <v>54.006822590248859</v>
      </c>
      <c r="I41" s="29">
        <f t="shared" ca="1" si="6"/>
        <v>54</v>
      </c>
      <c r="J41" s="29">
        <f t="shared" ca="1" si="7"/>
        <v>6</v>
      </c>
    </row>
    <row r="42" spans="3:10">
      <c r="C42" s="8">
        <v>44291</v>
      </c>
      <c r="D42" s="10">
        <v>54</v>
      </c>
      <c r="E42" s="10">
        <v>15</v>
      </c>
      <c r="F42" s="39">
        <v>51.7</v>
      </c>
      <c r="G42" s="26">
        <f t="shared" si="4"/>
        <v>54.264361111111114</v>
      </c>
      <c r="H42" s="26">
        <f t="shared" ca="1" si="5"/>
        <v>54.109545040319112</v>
      </c>
      <c r="I42" s="29">
        <f t="shared" ca="1" si="6"/>
        <v>54</v>
      </c>
      <c r="J42" s="29">
        <f t="shared" ca="1" si="7"/>
        <v>6</v>
      </c>
    </row>
    <row r="43" spans="3:10">
      <c r="C43" s="8">
        <v>44292</v>
      </c>
      <c r="D43" s="10">
        <v>54</v>
      </c>
      <c r="E43" s="10">
        <v>38</v>
      </c>
      <c r="F43" s="39">
        <v>33</v>
      </c>
      <c r="G43" s="26">
        <f t="shared" si="4"/>
        <v>54.642499999999998</v>
      </c>
      <c r="H43" s="26">
        <f t="shared" ca="1" si="5"/>
        <v>54.562953553097707</v>
      </c>
      <c r="I43" s="29">
        <f t="shared" ca="1" si="6"/>
        <v>54.5</v>
      </c>
      <c r="J43" s="29">
        <f t="shared" ca="1" si="7"/>
        <v>6.5</v>
      </c>
    </row>
    <row r="44" spans="3:10">
      <c r="C44" s="8">
        <v>44293</v>
      </c>
      <c r="D44" s="10">
        <v>55</v>
      </c>
      <c r="E44" s="10">
        <v>1</v>
      </c>
      <c r="F44" s="39">
        <v>7.6</v>
      </c>
      <c r="G44" s="26">
        <f t="shared" si="4"/>
        <v>55.018777777777778</v>
      </c>
      <c r="H44" s="26">
        <f t="shared" ca="1" si="5"/>
        <v>55.144470234900488</v>
      </c>
      <c r="I44" s="29">
        <f t="shared" ca="1" si="6"/>
        <v>55.25</v>
      </c>
      <c r="J44" s="29">
        <f t="shared" ca="1" si="7"/>
        <v>7.25</v>
      </c>
    </row>
    <row r="45" spans="3:10">
      <c r="C45" s="8">
        <v>44294</v>
      </c>
      <c r="D45" s="10">
        <v>55</v>
      </c>
      <c r="E45" s="10">
        <v>23</v>
      </c>
      <c r="F45" s="39">
        <v>35.299999999999997</v>
      </c>
      <c r="G45" s="26">
        <f t="shared" si="4"/>
        <v>55.393138888888892</v>
      </c>
      <c r="H45" s="26">
        <f t="shared" ca="1" si="5"/>
        <v>55.509850105899432</v>
      </c>
      <c r="I45" s="29">
        <f t="shared" ca="1" si="6"/>
        <v>55.5</v>
      </c>
      <c r="J45" s="29">
        <f t="shared" ca="1" si="7"/>
        <v>7.5</v>
      </c>
    </row>
    <row r="46" spans="3:10" ht="15.75" thickBot="1">
      <c r="C46" s="21">
        <v>44295</v>
      </c>
      <c r="D46" s="20">
        <v>55</v>
      </c>
      <c r="E46" s="20">
        <v>45</v>
      </c>
      <c r="F46" s="63">
        <v>55.7</v>
      </c>
      <c r="G46" s="27">
        <f t="shared" si="4"/>
        <v>55.765472222222222</v>
      </c>
      <c r="H46" s="27">
        <f t="shared" ca="1" si="5"/>
        <v>56.311830096675116</v>
      </c>
      <c r="I46" s="30">
        <f t="shared" ca="1" si="6"/>
        <v>56.25</v>
      </c>
      <c r="J46" s="30">
        <f t="shared" ca="1" si="7"/>
        <v>8.25</v>
      </c>
    </row>
    <row r="47" spans="3:10" ht="15.75" thickTop="1"/>
    <row r="48" spans="3:10">
      <c r="C48" s="74" t="s">
        <v>10</v>
      </c>
      <c r="D48" s="74"/>
      <c r="E48">
        <v>0.25</v>
      </c>
    </row>
    <row r="49" spans="5:21">
      <c r="E49" s="33"/>
    </row>
    <row r="54" spans="5:21">
      <c r="F54" s="3"/>
      <c r="K54" s="3"/>
      <c r="P54" s="3"/>
      <c r="U54" s="3"/>
    </row>
    <row r="55" spans="5:21">
      <c r="F55" s="3"/>
      <c r="K55" s="3"/>
      <c r="P55" s="3"/>
      <c r="U55" s="3"/>
    </row>
    <row r="56" spans="5:21">
      <c r="F56" s="3"/>
      <c r="K56" s="3"/>
      <c r="P56" s="3"/>
      <c r="U56" s="3"/>
    </row>
    <row r="57" spans="5:21">
      <c r="F57" s="3"/>
      <c r="K57" s="3"/>
      <c r="P57" s="3"/>
      <c r="U57" s="3"/>
    </row>
    <row r="58" spans="5:21">
      <c r="F58" s="3"/>
      <c r="K58" s="3"/>
      <c r="P58" s="3"/>
      <c r="U58" s="3"/>
    </row>
    <row r="59" spans="5:21">
      <c r="F59" s="3"/>
      <c r="K59" s="3"/>
      <c r="P59" s="3"/>
      <c r="U59" s="3"/>
    </row>
    <row r="60" spans="5:21">
      <c r="F60" s="5"/>
      <c r="K60" s="5"/>
      <c r="P60" s="5"/>
      <c r="U60" s="5"/>
    </row>
    <row r="61" spans="5:21">
      <c r="F61" s="3"/>
      <c r="K61" s="3"/>
      <c r="P61" s="3"/>
      <c r="U61" s="3"/>
    </row>
    <row r="62" spans="5:21">
      <c r="F62" s="8"/>
      <c r="K62" s="8"/>
      <c r="P62" s="8"/>
      <c r="U62" s="8"/>
    </row>
    <row r="63" spans="5:21">
      <c r="F63" s="3"/>
      <c r="K63" s="3"/>
      <c r="P63" s="3"/>
      <c r="U63" s="3"/>
    </row>
    <row r="64" spans="5:21">
      <c r="F64" s="8"/>
      <c r="K64" s="8"/>
      <c r="P64" s="8"/>
      <c r="U64" s="8"/>
    </row>
    <row r="65" spans="6:21">
      <c r="F65" s="12"/>
      <c r="K65" s="12"/>
      <c r="P65" s="12"/>
      <c r="U65" s="12"/>
    </row>
    <row r="66" spans="6:21">
      <c r="F66" s="8"/>
      <c r="K66" s="8"/>
      <c r="P66" s="8"/>
      <c r="U66" s="8"/>
    </row>
    <row r="67" spans="6:21">
      <c r="F67" s="12"/>
      <c r="K67" s="12"/>
      <c r="P67" s="12"/>
      <c r="U67" s="12"/>
    </row>
    <row r="68" spans="6:21">
      <c r="F68" s="8"/>
      <c r="K68" s="8"/>
      <c r="P68" s="8"/>
      <c r="U68" s="8"/>
    </row>
    <row r="69" spans="6:21">
      <c r="F69" s="12"/>
      <c r="K69" s="12"/>
      <c r="P69" s="12"/>
      <c r="U69" s="12"/>
    </row>
    <row r="70" spans="6:21">
      <c r="F70" s="8"/>
      <c r="K70" s="8"/>
      <c r="P70" s="8"/>
      <c r="U70" s="8"/>
    </row>
    <row r="71" spans="6:21">
      <c r="F71" s="12"/>
      <c r="K71" s="12"/>
      <c r="P71" s="12"/>
      <c r="U71" s="12"/>
    </row>
    <row r="72" spans="6:21">
      <c r="F72" s="8"/>
      <c r="K72" s="8"/>
      <c r="P72" s="8"/>
      <c r="U72" s="8"/>
    </row>
    <row r="73" spans="6:21">
      <c r="F73" s="12"/>
      <c r="K73" s="12"/>
      <c r="P73" s="12"/>
      <c r="U73" s="12"/>
    </row>
    <row r="74" spans="6:21">
      <c r="F74" s="8"/>
      <c r="K74" s="8"/>
      <c r="P74" s="8"/>
      <c r="U74" s="8"/>
    </row>
    <row r="75" spans="6:21">
      <c r="F75" s="12"/>
      <c r="K75" s="12"/>
      <c r="P75" s="12"/>
      <c r="U75" s="12"/>
    </row>
    <row r="76" spans="6:21" ht="15.75" thickBot="1">
      <c r="F76" s="21"/>
      <c r="K76" s="21"/>
      <c r="P76" s="21"/>
      <c r="U76" s="21"/>
    </row>
    <row r="77" spans="6:21" ht="15.75" thickTop="1">
      <c r="F77" s="34"/>
    </row>
    <row r="78" spans="6:21">
      <c r="F78" s="34"/>
    </row>
    <row r="81" spans="6:16">
      <c r="F81" s="3"/>
      <c r="K81" s="3"/>
      <c r="P81" s="3"/>
    </row>
    <row r="82" spans="6:16">
      <c r="F82" s="3"/>
      <c r="K82" s="3"/>
      <c r="P82" s="3"/>
    </row>
    <row r="83" spans="6:16">
      <c r="F83" s="3"/>
      <c r="K83" s="3"/>
      <c r="P83" s="3"/>
    </row>
    <row r="84" spans="6:16">
      <c r="F84" s="3"/>
      <c r="K84" s="3"/>
      <c r="P84" s="3"/>
    </row>
    <row r="85" spans="6:16">
      <c r="F85" s="3"/>
      <c r="K85" s="3"/>
      <c r="P85" s="3"/>
    </row>
    <row r="86" spans="6:16">
      <c r="F86" s="3"/>
      <c r="K86" s="3"/>
      <c r="P86" s="3"/>
    </row>
    <row r="87" spans="6:16">
      <c r="F87" s="5"/>
      <c r="K87" s="5"/>
      <c r="P87" s="5"/>
    </row>
    <row r="88" spans="6:16">
      <c r="F88" s="3"/>
      <c r="K88" s="3"/>
      <c r="P88" s="3"/>
    </row>
    <row r="89" spans="6:16">
      <c r="F89" s="8"/>
      <c r="K89" s="8"/>
      <c r="P89" s="8"/>
    </row>
    <row r="90" spans="6:16">
      <c r="F90" s="3"/>
      <c r="K90" s="3"/>
      <c r="P90" s="3"/>
    </row>
    <row r="91" spans="6:16">
      <c r="F91" s="8"/>
      <c r="K91" s="8"/>
      <c r="P91" s="8"/>
    </row>
    <row r="92" spans="6:16">
      <c r="F92" s="12"/>
      <c r="K92" s="12"/>
      <c r="P92" s="12"/>
    </row>
    <row r="93" spans="6:16">
      <c r="F93" s="8"/>
      <c r="K93" s="8"/>
      <c r="P93" s="8"/>
    </row>
    <row r="94" spans="6:16">
      <c r="F94" s="12"/>
      <c r="K94" s="12"/>
      <c r="P94" s="12"/>
    </row>
    <row r="95" spans="6:16">
      <c r="F95" s="8"/>
      <c r="K95" s="8"/>
      <c r="P95" s="8"/>
    </row>
    <row r="96" spans="6:16">
      <c r="F96" s="12"/>
      <c r="K96" s="12"/>
      <c r="P96" s="12"/>
    </row>
    <row r="97" spans="6:18">
      <c r="F97" s="8"/>
      <c r="K97" s="8"/>
      <c r="P97" s="8"/>
    </row>
    <row r="98" spans="6:18">
      <c r="F98" s="12"/>
      <c r="K98" s="12"/>
      <c r="P98" s="12"/>
    </row>
    <row r="99" spans="6:18">
      <c r="F99" s="8"/>
      <c r="K99" s="8"/>
      <c r="P99" s="8"/>
    </row>
    <row r="100" spans="6:18">
      <c r="F100" s="12"/>
      <c r="K100" s="12"/>
      <c r="P100" s="12"/>
    </row>
    <row r="101" spans="6:18">
      <c r="F101" s="8"/>
      <c r="K101" s="8"/>
      <c r="P101" s="8"/>
    </row>
    <row r="102" spans="6:18">
      <c r="F102" s="12"/>
      <c r="K102" s="12"/>
      <c r="P102" s="12"/>
    </row>
    <row r="103" spans="6:18" ht="15.75" thickBot="1">
      <c r="F103" s="21"/>
      <c r="K103" s="21"/>
      <c r="P103" s="21"/>
    </row>
    <row r="104" spans="6:18" ht="15.75" thickTop="1"/>
    <row r="107" spans="6:18">
      <c r="P107" s="78"/>
      <c r="Q107" s="78"/>
      <c r="R107" s="78"/>
    </row>
    <row r="108" spans="6:18">
      <c r="P108" s="78"/>
      <c r="Q108" s="78"/>
      <c r="R108" s="78"/>
    </row>
    <row r="110" spans="6:18">
      <c r="J110" s="79"/>
      <c r="K110" s="80"/>
      <c r="L110" s="80"/>
      <c r="M110" s="80"/>
      <c r="N110" s="80"/>
      <c r="O110" s="80"/>
      <c r="P110" s="80"/>
    </row>
    <row r="115" spans="5:9">
      <c r="F115" s="3"/>
      <c r="H115" s="35"/>
      <c r="I115" s="35"/>
    </row>
    <row r="116" spans="5:9">
      <c r="E116" s="36"/>
      <c r="F116" s="3"/>
      <c r="H116" s="35"/>
      <c r="I116" s="35"/>
    </row>
    <row r="117" spans="5:9">
      <c r="E117" s="36"/>
      <c r="F117" s="3"/>
      <c r="H117" s="35"/>
      <c r="I117" s="35"/>
    </row>
    <row r="118" spans="5:9">
      <c r="E118" s="36"/>
      <c r="F118" s="3"/>
      <c r="H118" s="35"/>
      <c r="I118" s="35"/>
    </row>
    <row r="119" spans="5:9">
      <c r="E119" s="36"/>
      <c r="F119" s="3"/>
      <c r="H119" s="35"/>
      <c r="I119" s="35"/>
    </row>
    <row r="120" spans="5:9">
      <c r="E120" s="36"/>
      <c r="F120" s="3"/>
      <c r="H120" s="35"/>
      <c r="I120" s="35"/>
    </row>
    <row r="121" spans="5:9">
      <c r="E121" s="36"/>
      <c r="F121" s="3"/>
      <c r="H121" s="35"/>
      <c r="I121" s="35"/>
    </row>
    <row r="122" spans="5:9">
      <c r="E122" s="36"/>
      <c r="F122" s="3"/>
      <c r="H122" s="35"/>
      <c r="I122" s="35"/>
    </row>
    <row r="123" spans="5:9">
      <c r="E123" s="36"/>
      <c r="F123" s="3"/>
      <c r="H123" s="35"/>
      <c r="I123" s="35"/>
    </row>
    <row r="124" spans="5:9">
      <c r="E124" s="36"/>
      <c r="F124" s="3"/>
      <c r="H124" s="35"/>
      <c r="I124" s="35"/>
    </row>
    <row r="125" spans="5:9">
      <c r="E125" s="36"/>
      <c r="F125" s="3"/>
      <c r="H125" s="35"/>
      <c r="I125" s="35"/>
    </row>
    <row r="126" spans="5:9">
      <c r="E126" s="36"/>
      <c r="F126" s="3"/>
      <c r="H126" s="35"/>
      <c r="I126" s="35"/>
    </row>
    <row r="127" spans="5:9">
      <c r="E127" s="36"/>
      <c r="F127" s="3"/>
      <c r="H127" s="37"/>
      <c r="I127" s="35"/>
    </row>
    <row r="128" spans="5:9">
      <c r="E128" s="36"/>
      <c r="F128" s="3"/>
      <c r="H128" s="35"/>
      <c r="I128" s="35"/>
    </row>
    <row r="129" spans="5:9">
      <c r="E129" s="36"/>
      <c r="F129" s="3"/>
      <c r="H129" s="35"/>
      <c r="I129" s="35"/>
    </row>
    <row r="130" spans="5:9">
      <c r="F130" s="3"/>
      <c r="H130" s="35"/>
      <c r="I130" s="35"/>
    </row>
    <row r="131" spans="5:9">
      <c r="F131" s="3"/>
      <c r="H131" s="35"/>
      <c r="I131" s="35"/>
    </row>
    <row r="132" spans="5:9">
      <c r="F132" s="3"/>
      <c r="H132" s="35"/>
      <c r="I132" s="35"/>
    </row>
    <row r="133" spans="5:9">
      <c r="F133" s="3"/>
      <c r="H133" s="35"/>
      <c r="I133" s="35"/>
    </row>
    <row r="134" spans="5:9">
      <c r="F134" s="3"/>
      <c r="H134" s="35"/>
      <c r="I134" s="35"/>
    </row>
    <row r="135" spans="5:9">
      <c r="F135" s="3"/>
      <c r="H135" s="35"/>
      <c r="I135" s="35"/>
    </row>
    <row r="136" spans="5:9">
      <c r="F136" s="3"/>
      <c r="H136" s="35"/>
      <c r="I136" s="35"/>
    </row>
    <row r="137" spans="5:9">
      <c r="F137" s="3"/>
      <c r="H137" s="35"/>
      <c r="I137" s="35"/>
    </row>
    <row r="139" spans="5:9">
      <c r="H139" s="35"/>
    </row>
  </sheetData>
  <mergeCells count="5">
    <mergeCell ref="D4:F4"/>
    <mergeCell ref="C48:D48"/>
    <mergeCell ref="M4:O4"/>
    <mergeCell ref="P107:R108"/>
    <mergeCell ref="J110:P110"/>
  </mergeCells>
  <conditionalFormatting sqref="C18:J46 C6:C17">
    <cfRule type="expression" dxfId="42" priority="20">
      <formula>INT(ROW(C6)/2)-(ROW(C6)/2)&lt;&gt;0</formula>
    </cfRule>
    <cfRule type="expression" dxfId="41" priority="21">
      <formula>INT(ROW(C6)/2)-(ROW(C6)/2)=0</formula>
    </cfRule>
  </conditionalFormatting>
  <conditionalFormatting sqref="D25:J25">
    <cfRule type="expression" dxfId="40" priority="19">
      <formula>"iseven(row)"</formula>
    </cfRule>
  </conditionalFormatting>
  <conditionalFormatting sqref="D25:J46">
    <cfRule type="expression" dxfId="39" priority="17">
      <formula>"iseven(row)"</formula>
    </cfRule>
    <cfRule type="expression" dxfId="38" priority="18">
      <formula>"iseven(row)"</formula>
    </cfRule>
  </conditionalFormatting>
  <conditionalFormatting sqref="F81:F103">
    <cfRule type="expression" dxfId="37" priority="13">
      <formula>INT(ROW(F81)/2)-(ROW(F81)/2)&lt;&gt;0</formula>
    </cfRule>
    <cfRule type="expression" dxfId="36" priority="14">
      <formula>INT(ROW(F81)/2)-(ROW(F81)/2)=0</formula>
    </cfRule>
  </conditionalFormatting>
  <conditionalFormatting sqref="F54:F78">
    <cfRule type="expression" dxfId="35" priority="15">
      <formula>INT(ROW(F54)/2)-(ROW(F54)/2)&lt;&gt;0</formula>
    </cfRule>
    <cfRule type="expression" dxfId="34" priority="16">
      <formula>INT(ROW(F54)/2)-(ROW(F54)/2)=0</formula>
    </cfRule>
  </conditionalFormatting>
  <conditionalFormatting sqref="K81:K103">
    <cfRule type="expression" dxfId="33" priority="11">
      <formula>INT(ROW(K81)/2)-(ROW(K81)/2)&lt;&gt;0</formula>
    </cfRule>
    <cfRule type="expression" dxfId="32" priority="12">
      <formula>INT(ROW(K81)/2)-(ROW(K81)/2)=0</formula>
    </cfRule>
  </conditionalFormatting>
  <conditionalFormatting sqref="K54:K76">
    <cfRule type="expression" dxfId="31" priority="9">
      <formula>INT(ROW(K54)/2)-(ROW(K54)/2)&lt;&gt;0</formula>
    </cfRule>
    <cfRule type="expression" dxfId="30" priority="10">
      <formula>INT(ROW(K54)/2)-(ROW(K54)/2)=0</formula>
    </cfRule>
  </conditionalFormatting>
  <conditionalFormatting sqref="P54:P76">
    <cfRule type="expression" dxfId="29" priority="7">
      <formula>INT(ROW(P54)/2)-(ROW(P54)/2)&lt;&gt;0</formula>
    </cfRule>
    <cfRule type="expression" dxfId="28" priority="8">
      <formula>INT(ROW(P54)/2)-(ROW(P54)/2)=0</formula>
    </cfRule>
  </conditionalFormatting>
  <conditionalFormatting sqref="U54:U76">
    <cfRule type="expression" dxfId="27" priority="5">
      <formula>INT(ROW(U54)/2)-(ROW(U54)/2)&lt;&gt;0</formula>
    </cfRule>
    <cfRule type="expression" dxfId="26" priority="6">
      <formula>INT(ROW(U54)/2)-(ROW(U54)/2)=0</formula>
    </cfRule>
  </conditionalFormatting>
  <conditionalFormatting sqref="P81:P103">
    <cfRule type="expression" dxfId="25" priority="3">
      <formula>INT(ROW(P81)/2)-(ROW(P81)/2)&lt;&gt;0</formula>
    </cfRule>
    <cfRule type="expression" dxfId="24" priority="4">
      <formula>INT(ROW(P81)/2)-(ROW(P81)/2)=0</formula>
    </cfRule>
  </conditionalFormatting>
  <conditionalFormatting sqref="F115:F137">
    <cfRule type="expression" dxfId="23" priority="1">
      <formula>INT(ROW(F115)/2)-(ROW(F115)/2)&lt;&gt;0</formula>
    </cfRule>
    <cfRule type="expression" dxfId="22" priority="2">
      <formula>INT(ROW(F115)/2)-(ROW(F115)/2)=0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Q38"/>
  <sheetViews>
    <sheetView topLeftCell="A17" workbookViewId="0">
      <selection activeCell="M26" sqref="M26"/>
    </sheetView>
  </sheetViews>
  <sheetFormatPr defaultRowHeight="15"/>
  <cols>
    <col min="5" max="5" width="13.28515625" customWidth="1"/>
    <col min="6" max="7" width="16.42578125" customWidth="1"/>
    <col min="8" max="8" width="18.5703125" customWidth="1"/>
    <col min="9" max="9" width="13.42578125" customWidth="1"/>
    <col min="16" max="16" width="14.7109375" customWidth="1"/>
    <col min="17" max="17" width="14.5703125" customWidth="1"/>
  </cols>
  <sheetData>
    <row r="3" spans="2:17" ht="15.75" thickBot="1"/>
    <row r="4" spans="2:17" ht="76.5" thickTop="1" thickBot="1">
      <c r="B4" s="1" t="s">
        <v>0</v>
      </c>
      <c r="C4" s="71" t="s">
        <v>8</v>
      </c>
      <c r="D4" s="72"/>
      <c r="E4" s="73"/>
      <c r="F4" s="1" t="s">
        <v>8</v>
      </c>
      <c r="G4" s="1" t="s">
        <v>9</v>
      </c>
      <c r="H4" s="38" t="s">
        <v>11</v>
      </c>
      <c r="I4" s="32" t="s">
        <v>13</v>
      </c>
      <c r="M4" s="75" t="s">
        <v>6</v>
      </c>
      <c r="N4" s="76"/>
      <c r="O4" s="77"/>
      <c r="P4" s="1" t="s">
        <v>6</v>
      </c>
      <c r="Q4" s="31" t="s">
        <v>12</v>
      </c>
    </row>
    <row r="5" spans="2:17" ht="16.5" thickTop="1" thickBot="1">
      <c r="B5" s="15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5</v>
      </c>
      <c r="H5" s="17" t="s">
        <v>5</v>
      </c>
      <c r="I5" s="15" t="s">
        <v>5</v>
      </c>
      <c r="M5" s="18" t="s">
        <v>2</v>
      </c>
      <c r="N5" s="18" t="s">
        <v>7</v>
      </c>
      <c r="O5" s="18" t="s">
        <v>4</v>
      </c>
      <c r="P5" s="15" t="s">
        <v>5</v>
      </c>
      <c r="Q5" s="18" t="s">
        <v>5</v>
      </c>
    </row>
    <row r="6" spans="2:17" ht="16.5" thickTop="1" thickBot="1">
      <c r="B6" s="8">
        <v>43622</v>
      </c>
      <c r="C6" s="9">
        <v>70</v>
      </c>
      <c r="D6" s="10">
        <v>46</v>
      </c>
      <c r="E6" s="39">
        <v>55.6</v>
      </c>
      <c r="F6" s="45">
        <f>C6+D6/60+E6/3600</f>
        <v>70.782111111111107</v>
      </c>
      <c r="G6" s="26">
        <f ca="1" xml:space="preserve"> SQRT(-2*LN(RAND()))*COS(2*PI()*RAND())*$D$38+F6</f>
        <v>70.762266309494308</v>
      </c>
      <c r="H6" s="28">
        <f ca="1">IF(ABS(INT(G6/$D$38)*$D$38-G6)&lt;= ABS((INT(G6/$D$38)+1)*$D$38-G6),INT(G6/$D$38)*$D$38,(INT(G6/$D$38)+1)*$D$38)</f>
        <v>70.75</v>
      </c>
      <c r="I6" s="28">
        <f ca="1">H6-90+$Q$6</f>
        <v>22.650000000000006</v>
      </c>
      <c r="M6" s="19">
        <v>41</v>
      </c>
      <c r="N6" s="19">
        <v>54</v>
      </c>
      <c r="O6" s="19">
        <v>30.95</v>
      </c>
      <c r="P6" s="19">
        <f>M6+N6/60+O6/3600</f>
        <v>41.90859722222222</v>
      </c>
      <c r="Q6" s="19">
        <f>IF(ABS(INT(P6/$D$38)*$D$38-P6)&lt;= ABS((INT(P6/$D$38)+1)*$D$38-P6),INT(P6/$D$38)*$D$38,(INT(P6/$D$38)+1)*$D$38)</f>
        <v>41.900000000000006</v>
      </c>
    </row>
    <row r="7" spans="2:17" ht="15.75" thickTop="1">
      <c r="B7" s="12">
        <v>43623</v>
      </c>
      <c r="C7" s="13">
        <v>70</v>
      </c>
      <c r="D7" s="14">
        <v>52</v>
      </c>
      <c r="E7" s="40">
        <v>50.1</v>
      </c>
      <c r="F7" s="45">
        <f t="shared" ref="F7:F35" si="0">C7+D7/60+E7/3600</f>
        <v>70.88058333333332</v>
      </c>
      <c r="G7" s="26">
        <f t="shared" ref="G7:G35" ca="1" si="1" xml:space="preserve"> SQRT(-2*LN(RAND()))*COS(2*PI()*RAND())*$D$38+F7</f>
        <v>70.936173157296594</v>
      </c>
      <c r="H7" s="29">
        <f t="shared" ref="H7:H35" ca="1" si="2">IF(ABS(INT(G7/$D$38)*$D$38-G7)&lt;= ABS((INT(G7/$D$38)+1)*$D$38-G7),INT(G7/$D$38)*$D$38,(INT(G7/$D$38)+1)*$D$38)</f>
        <v>70.95</v>
      </c>
      <c r="I7" s="29">
        <f t="shared" ref="I7:I35" ca="1" si="3">H7-90+$Q$6</f>
        <v>22.850000000000009</v>
      </c>
    </row>
    <row r="8" spans="2:17">
      <c r="B8" s="8">
        <v>43624</v>
      </c>
      <c r="C8" s="9">
        <v>70</v>
      </c>
      <c r="D8" s="10">
        <v>58</v>
      </c>
      <c r="E8" s="39">
        <v>20.6</v>
      </c>
      <c r="F8" s="45">
        <f t="shared" si="0"/>
        <v>70.972388888888887</v>
      </c>
      <c r="G8" s="26">
        <f t="shared" ca="1" si="1"/>
        <v>70.969706300464665</v>
      </c>
      <c r="H8" s="29">
        <f t="shared" ca="1" si="2"/>
        <v>70.95</v>
      </c>
      <c r="I8" s="29">
        <f t="shared" ca="1" si="3"/>
        <v>22.850000000000009</v>
      </c>
    </row>
    <row r="9" spans="2:17">
      <c r="B9" s="12">
        <v>43625</v>
      </c>
      <c r="C9" s="13">
        <v>71</v>
      </c>
      <c r="D9" s="14">
        <v>3</v>
      </c>
      <c r="E9" s="40">
        <v>26.9</v>
      </c>
      <c r="F9" s="45">
        <f t="shared" si="0"/>
        <v>71.057472222222216</v>
      </c>
      <c r="G9" s="26">
        <f t="shared" ca="1" si="1"/>
        <v>71.061736681166337</v>
      </c>
      <c r="H9" s="29">
        <f t="shared" ca="1" si="2"/>
        <v>71.05</v>
      </c>
      <c r="I9" s="29">
        <f t="shared" ca="1" si="3"/>
        <v>22.950000000000003</v>
      </c>
    </row>
    <row r="10" spans="2:17">
      <c r="B10" s="8">
        <v>43626</v>
      </c>
      <c r="C10" s="9">
        <v>71</v>
      </c>
      <c r="D10" s="10">
        <v>8</v>
      </c>
      <c r="E10" s="39">
        <v>9.1</v>
      </c>
      <c r="F10" s="45">
        <f t="shared" si="0"/>
        <v>71.135861111111112</v>
      </c>
      <c r="G10" s="26">
        <f t="shared" ca="1" si="1"/>
        <v>71.158352064791742</v>
      </c>
      <c r="H10" s="29">
        <f t="shared" ca="1" si="2"/>
        <v>71.150000000000006</v>
      </c>
      <c r="I10" s="29">
        <f t="shared" ca="1" si="3"/>
        <v>23.050000000000011</v>
      </c>
    </row>
    <row r="11" spans="2:17">
      <c r="B11" s="12">
        <v>43627</v>
      </c>
      <c r="C11" s="13">
        <v>71</v>
      </c>
      <c r="D11" s="14">
        <v>12</v>
      </c>
      <c r="E11" s="40">
        <v>27</v>
      </c>
      <c r="F11" s="45">
        <f t="shared" si="0"/>
        <v>71.207499999999996</v>
      </c>
      <c r="G11" s="26">
        <f t="shared" ca="1" si="1"/>
        <v>71.268733018718066</v>
      </c>
      <c r="H11" s="29">
        <f t="shared" ca="1" si="2"/>
        <v>71.25</v>
      </c>
      <c r="I11" s="29">
        <f t="shared" ca="1" si="3"/>
        <v>23.150000000000006</v>
      </c>
    </row>
    <row r="12" spans="2:17">
      <c r="B12" s="8">
        <v>43628</v>
      </c>
      <c r="C12" s="9">
        <v>71</v>
      </c>
      <c r="D12" s="10">
        <v>16</v>
      </c>
      <c r="E12" s="39">
        <v>21.5</v>
      </c>
      <c r="F12" s="45">
        <f t="shared" si="0"/>
        <v>71.272638888888892</v>
      </c>
      <c r="G12" s="26">
        <f t="shared" ca="1" si="1"/>
        <v>71.275942595392792</v>
      </c>
      <c r="H12" s="29">
        <f t="shared" ca="1" si="2"/>
        <v>71.3</v>
      </c>
      <c r="I12" s="29">
        <f t="shared" ca="1" si="3"/>
        <v>23.200000000000003</v>
      </c>
    </row>
    <row r="13" spans="2:17">
      <c r="B13" s="12">
        <v>43629</v>
      </c>
      <c r="C13" s="13">
        <v>71</v>
      </c>
      <c r="D13" s="14">
        <v>19</v>
      </c>
      <c r="E13" s="40">
        <v>49.6</v>
      </c>
      <c r="F13" s="45">
        <f t="shared" si="0"/>
        <v>71.330444444444439</v>
      </c>
      <c r="G13" s="26">
        <f t="shared" ca="1" si="1"/>
        <v>71.391577128944817</v>
      </c>
      <c r="H13" s="29">
        <f t="shared" ca="1" si="2"/>
        <v>71.400000000000006</v>
      </c>
      <c r="I13" s="29">
        <f t="shared" ca="1" si="3"/>
        <v>23.300000000000011</v>
      </c>
    </row>
    <row r="14" spans="2:17">
      <c r="B14" s="8">
        <v>43630</v>
      </c>
      <c r="C14" s="9">
        <v>71</v>
      </c>
      <c r="D14" s="10">
        <v>22</v>
      </c>
      <c r="E14" s="39">
        <v>54</v>
      </c>
      <c r="F14" s="45">
        <f t="shared" si="0"/>
        <v>71.381666666666661</v>
      </c>
      <c r="G14" s="26">
        <f t="shared" ca="1" si="1"/>
        <v>71.378401418255663</v>
      </c>
      <c r="H14" s="29">
        <f t="shared" ca="1" si="2"/>
        <v>71.400000000000006</v>
      </c>
      <c r="I14" s="29">
        <f t="shared" ca="1" si="3"/>
        <v>23.300000000000011</v>
      </c>
    </row>
    <row r="15" spans="2:17">
      <c r="B15" s="12">
        <v>43631</v>
      </c>
      <c r="C15" s="13">
        <v>71</v>
      </c>
      <c r="D15" s="14">
        <v>25</v>
      </c>
      <c r="E15" s="40">
        <v>34</v>
      </c>
      <c r="F15" s="45">
        <f t="shared" si="0"/>
        <v>71.426111111111112</v>
      </c>
      <c r="G15" s="26">
        <f t="shared" ca="1" si="1"/>
        <v>71.427546828102805</v>
      </c>
      <c r="H15" s="29">
        <f t="shared" ca="1" si="2"/>
        <v>71.45</v>
      </c>
      <c r="I15" s="29">
        <f t="shared" ca="1" si="3"/>
        <v>23.350000000000009</v>
      </c>
    </row>
    <row r="16" spans="2:17">
      <c r="B16" s="8">
        <v>43632</v>
      </c>
      <c r="C16" s="9">
        <v>71</v>
      </c>
      <c r="D16" s="10">
        <v>27</v>
      </c>
      <c r="E16" s="39">
        <v>49.2</v>
      </c>
      <c r="F16" s="45">
        <f t="shared" si="0"/>
        <v>71.463666666666668</v>
      </c>
      <c r="G16" s="26">
        <f t="shared" ca="1" si="1"/>
        <v>71.399213696355332</v>
      </c>
      <c r="H16" s="29">
        <f t="shared" ca="1" si="2"/>
        <v>71.400000000000006</v>
      </c>
      <c r="I16" s="29">
        <f t="shared" ca="1" si="3"/>
        <v>23.300000000000011</v>
      </c>
    </row>
    <row r="17" spans="2:9">
      <c r="B17" s="12">
        <v>43633</v>
      </c>
      <c r="C17" s="13">
        <v>71</v>
      </c>
      <c r="D17" s="14">
        <v>29</v>
      </c>
      <c r="E17" s="40">
        <v>39.700000000000003</v>
      </c>
      <c r="F17" s="45">
        <f t="shared" si="0"/>
        <v>71.494361111111118</v>
      </c>
      <c r="G17" s="26">
        <f t="shared" ca="1" si="1"/>
        <v>71.443670739080744</v>
      </c>
      <c r="H17" s="29">
        <f t="shared" ca="1" si="2"/>
        <v>71.45</v>
      </c>
      <c r="I17" s="29">
        <f t="shared" ca="1" si="3"/>
        <v>23.350000000000009</v>
      </c>
    </row>
    <row r="18" spans="2:9">
      <c r="B18" s="8">
        <v>43634</v>
      </c>
      <c r="C18" s="9">
        <v>71</v>
      </c>
      <c r="D18" s="10">
        <v>31</v>
      </c>
      <c r="E18" s="39">
        <v>5.4</v>
      </c>
      <c r="F18" s="45">
        <f t="shared" si="0"/>
        <v>71.518166666666659</v>
      </c>
      <c r="G18" s="26">
        <f t="shared" ca="1" si="1"/>
        <v>71.521858786715782</v>
      </c>
      <c r="H18" s="29">
        <f t="shared" ca="1" si="2"/>
        <v>71.5</v>
      </c>
      <c r="I18" s="29">
        <f t="shared" ca="1" si="3"/>
        <v>23.400000000000006</v>
      </c>
    </row>
    <row r="19" spans="2:9">
      <c r="B19" s="12">
        <v>43635</v>
      </c>
      <c r="C19" s="13">
        <v>71</v>
      </c>
      <c r="D19" s="14">
        <v>32</v>
      </c>
      <c r="E19" s="40">
        <v>6.2</v>
      </c>
      <c r="F19" s="45">
        <f t="shared" si="0"/>
        <v>71.535055555555559</v>
      </c>
      <c r="G19" s="26">
        <f t="shared" ca="1" si="1"/>
        <v>71.528676344647508</v>
      </c>
      <c r="H19" s="29">
        <f t="shared" ca="1" si="2"/>
        <v>71.55</v>
      </c>
      <c r="I19" s="29">
        <f t="shared" ca="1" si="3"/>
        <v>23.450000000000003</v>
      </c>
    </row>
    <row r="20" spans="2:9">
      <c r="B20" s="8">
        <v>43636</v>
      </c>
      <c r="C20" s="9">
        <v>71</v>
      </c>
      <c r="D20" s="10">
        <v>32</v>
      </c>
      <c r="E20" s="39">
        <v>42.3</v>
      </c>
      <c r="F20" s="45">
        <f t="shared" si="0"/>
        <v>71.545083333333338</v>
      </c>
      <c r="G20" s="26">
        <f t="shared" ca="1" si="1"/>
        <v>71.50188285403469</v>
      </c>
      <c r="H20" s="29">
        <f t="shared" ca="1" si="2"/>
        <v>71.5</v>
      </c>
      <c r="I20" s="29">
        <f t="shared" ca="1" si="3"/>
        <v>23.400000000000006</v>
      </c>
    </row>
    <row r="21" spans="2:9">
      <c r="B21" s="41">
        <v>43637</v>
      </c>
      <c r="C21" s="42">
        <v>71</v>
      </c>
      <c r="D21" s="43">
        <v>32</v>
      </c>
      <c r="E21" s="44">
        <v>53.4</v>
      </c>
      <c r="F21" s="45">
        <f t="shared" si="0"/>
        <v>71.54816666666666</v>
      </c>
      <c r="G21" s="26">
        <f t="shared" ca="1" si="1"/>
        <v>71.489931008588471</v>
      </c>
      <c r="H21" s="29">
        <f t="shared" ca="1" si="2"/>
        <v>71.5</v>
      </c>
      <c r="I21" s="29">
        <f t="shared" ca="1" si="3"/>
        <v>23.400000000000006</v>
      </c>
    </row>
    <row r="22" spans="2:9">
      <c r="B22" s="8">
        <v>43638</v>
      </c>
      <c r="C22" s="9">
        <v>71</v>
      </c>
      <c r="D22" s="10">
        <v>32</v>
      </c>
      <c r="E22" s="39">
        <v>39.799999999999997</v>
      </c>
      <c r="F22" s="45">
        <f t="shared" si="0"/>
        <v>71.544388888888889</v>
      </c>
      <c r="G22" s="26">
        <f t="shared" ca="1" si="1"/>
        <v>71.582928541721643</v>
      </c>
      <c r="H22" s="29">
        <f t="shared" ca="1" si="2"/>
        <v>71.600000000000009</v>
      </c>
      <c r="I22" s="29">
        <f t="shared" ca="1" si="3"/>
        <v>23.500000000000014</v>
      </c>
    </row>
    <row r="23" spans="2:9">
      <c r="B23" s="12">
        <v>43639</v>
      </c>
      <c r="C23" s="13">
        <v>71</v>
      </c>
      <c r="D23" s="14">
        <v>32</v>
      </c>
      <c r="E23" s="40">
        <v>1.3</v>
      </c>
      <c r="F23" s="45">
        <f t="shared" si="0"/>
        <v>71.533694444444436</v>
      </c>
      <c r="G23" s="26">
        <f t="shared" ca="1" si="1"/>
        <v>71.573770265418716</v>
      </c>
      <c r="H23" s="29">
        <f t="shared" ca="1" si="2"/>
        <v>71.55</v>
      </c>
      <c r="I23" s="29">
        <f t="shared" ca="1" si="3"/>
        <v>23.450000000000003</v>
      </c>
    </row>
    <row r="24" spans="2:9">
      <c r="B24" s="8">
        <v>43640</v>
      </c>
      <c r="C24" s="9">
        <v>71</v>
      </c>
      <c r="D24" s="10">
        <v>30</v>
      </c>
      <c r="E24" s="39">
        <v>58</v>
      </c>
      <c r="F24" s="45">
        <f t="shared" si="0"/>
        <v>71.516111111111115</v>
      </c>
      <c r="G24" s="26">
        <f t="shared" ca="1" si="1"/>
        <v>71.506868341668181</v>
      </c>
      <c r="H24" s="29">
        <f t="shared" ca="1" si="2"/>
        <v>71.5</v>
      </c>
      <c r="I24" s="29">
        <f t="shared" ca="1" si="3"/>
        <v>23.400000000000006</v>
      </c>
    </row>
    <row r="25" spans="2:9">
      <c r="B25" s="12">
        <v>43641</v>
      </c>
      <c r="C25" s="13">
        <v>71</v>
      </c>
      <c r="D25" s="14">
        <v>29</v>
      </c>
      <c r="E25" s="40">
        <v>30</v>
      </c>
      <c r="F25" s="45">
        <f t="shared" si="0"/>
        <v>71.491666666666674</v>
      </c>
      <c r="G25" s="26">
        <f t="shared" ca="1" si="1"/>
        <v>71.450759833552638</v>
      </c>
      <c r="H25" s="29">
        <f t="shared" ca="1" si="2"/>
        <v>71.45</v>
      </c>
      <c r="I25" s="29">
        <f t="shared" ca="1" si="3"/>
        <v>23.350000000000009</v>
      </c>
    </row>
    <row r="26" spans="2:9">
      <c r="B26" s="8">
        <v>43642</v>
      </c>
      <c r="C26" s="9">
        <v>71</v>
      </c>
      <c r="D26" s="10">
        <v>27</v>
      </c>
      <c r="E26" s="39">
        <v>37.299999999999997</v>
      </c>
      <c r="F26" s="45">
        <f t="shared" si="0"/>
        <v>71.460361111111112</v>
      </c>
      <c r="G26" s="26">
        <f t="shared" ca="1" si="1"/>
        <v>71.399843670626339</v>
      </c>
      <c r="H26" s="29">
        <f t="shared" ca="1" si="2"/>
        <v>71.400000000000006</v>
      </c>
      <c r="I26" s="29">
        <f t="shared" ca="1" si="3"/>
        <v>23.300000000000011</v>
      </c>
    </row>
    <row r="27" spans="2:9">
      <c r="B27" s="12">
        <v>43643</v>
      </c>
      <c r="C27" s="13">
        <v>71</v>
      </c>
      <c r="D27" s="14">
        <v>25</v>
      </c>
      <c r="E27" s="40">
        <v>20</v>
      </c>
      <c r="F27" s="45">
        <f t="shared" si="0"/>
        <v>71.422222222222231</v>
      </c>
      <c r="G27" s="26">
        <f t="shared" ca="1" si="1"/>
        <v>71.408710470962049</v>
      </c>
      <c r="H27" s="29">
        <f t="shared" ca="1" si="2"/>
        <v>71.400000000000006</v>
      </c>
      <c r="I27" s="29">
        <f t="shared" ca="1" si="3"/>
        <v>23.300000000000011</v>
      </c>
    </row>
    <row r="28" spans="2:9">
      <c r="B28" s="8">
        <v>43644</v>
      </c>
      <c r="C28" s="9">
        <v>71</v>
      </c>
      <c r="D28" s="10">
        <v>22</v>
      </c>
      <c r="E28" s="39">
        <v>38.200000000000003</v>
      </c>
      <c r="F28" s="45">
        <f t="shared" si="0"/>
        <v>71.377277777777778</v>
      </c>
      <c r="G28" s="26">
        <f t="shared" ca="1" si="1"/>
        <v>71.40210411553214</v>
      </c>
      <c r="H28" s="29">
        <f t="shared" ca="1" si="2"/>
        <v>71.400000000000006</v>
      </c>
      <c r="I28" s="29">
        <f t="shared" ca="1" si="3"/>
        <v>23.300000000000011</v>
      </c>
    </row>
    <row r="29" spans="2:9">
      <c r="B29" s="12">
        <v>43645</v>
      </c>
      <c r="C29" s="13">
        <v>71</v>
      </c>
      <c r="D29" s="14">
        <v>19</v>
      </c>
      <c r="E29" s="40">
        <v>31.9</v>
      </c>
      <c r="F29" s="45">
        <f t="shared" si="0"/>
        <v>71.325527777777779</v>
      </c>
      <c r="G29" s="26">
        <f t="shared" ca="1" si="1"/>
        <v>71.4072708648618</v>
      </c>
      <c r="H29" s="29">
        <f t="shared" ca="1" si="2"/>
        <v>71.400000000000006</v>
      </c>
      <c r="I29" s="29">
        <f t="shared" ca="1" si="3"/>
        <v>23.300000000000011</v>
      </c>
    </row>
    <row r="30" spans="2:9">
      <c r="B30" s="8">
        <v>43646</v>
      </c>
      <c r="C30" s="9">
        <v>71</v>
      </c>
      <c r="D30" s="10">
        <v>16</v>
      </c>
      <c r="E30" s="39">
        <v>1.1000000000000001</v>
      </c>
      <c r="F30" s="45">
        <f t="shared" si="0"/>
        <v>71.266972222222222</v>
      </c>
      <c r="G30" s="26">
        <f t="shared" ca="1" si="1"/>
        <v>71.267689111759069</v>
      </c>
      <c r="H30" s="29">
        <f t="shared" ca="1" si="2"/>
        <v>71.25</v>
      </c>
      <c r="I30" s="29">
        <f t="shared" ca="1" si="3"/>
        <v>23.150000000000006</v>
      </c>
    </row>
    <row r="31" spans="2:9">
      <c r="B31" s="12">
        <v>43647</v>
      </c>
      <c r="C31" s="13">
        <v>71</v>
      </c>
      <c r="D31" s="14">
        <v>12</v>
      </c>
      <c r="E31" s="40">
        <v>6.1</v>
      </c>
      <c r="F31" s="45">
        <f t="shared" si="0"/>
        <v>71.201694444444442</v>
      </c>
      <c r="G31" s="26">
        <f t="shared" ca="1" si="1"/>
        <v>71.113977530637356</v>
      </c>
      <c r="H31" s="29">
        <f t="shared" ca="1" si="2"/>
        <v>71.100000000000009</v>
      </c>
      <c r="I31" s="29">
        <f t="shared" ca="1" si="3"/>
        <v>23.000000000000014</v>
      </c>
    </row>
    <row r="32" spans="2:9">
      <c r="B32" s="8">
        <v>43648</v>
      </c>
      <c r="C32" s="9">
        <v>71</v>
      </c>
      <c r="D32" s="10">
        <v>7</v>
      </c>
      <c r="E32" s="39">
        <v>47</v>
      </c>
      <c r="F32" s="45">
        <f t="shared" si="0"/>
        <v>71.129722222222213</v>
      </c>
      <c r="G32" s="26">
        <f t="shared" ca="1" si="1"/>
        <v>71.130617026710937</v>
      </c>
      <c r="H32" s="29">
        <f t="shared" ca="1" si="2"/>
        <v>71.150000000000006</v>
      </c>
      <c r="I32" s="29">
        <f t="shared" ca="1" si="3"/>
        <v>23.050000000000011</v>
      </c>
    </row>
    <row r="33" spans="2:9">
      <c r="B33" s="12">
        <v>43649</v>
      </c>
      <c r="C33" s="13">
        <v>71</v>
      </c>
      <c r="D33" s="14">
        <v>3</v>
      </c>
      <c r="E33" s="40">
        <v>3.7</v>
      </c>
      <c r="F33" s="45">
        <f t="shared" si="0"/>
        <v>71.051027777777776</v>
      </c>
      <c r="G33" s="26">
        <f t="shared" ca="1" si="1"/>
        <v>70.976154293411028</v>
      </c>
      <c r="H33" s="29">
        <f t="shared" ca="1" si="2"/>
        <v>71</v>
      </c>
      <c r="I33" s="29">
        <f t="shared" ca="1" si="3"/>
        <v>22.900000000000006</v>
      </c>
    </row>
    <row r="34" spans="2:9">
      <c r="B34" s="8">
        <v>43650</v>
      </c>
      <c r="C34" s="9">
        <v>70</v>
      </c>
      <c r="D34" s="10">
        <v>57</v>
      </c>
      <c r="E34" s="39">
        <v>56.4</v>
      </c>
      <c r="F34" s="45">
        <f t="shared" si="0"/>
        <v>70.965666666666664</v>
      </c>
      <c r="G34" s="26">
        <f t="shared" ca="1" si="1"/>
        <v>70.994569980517184</v>
      </c>
      <c r="H34" s="29">
        <f t="shared" ca="1" si="2"/>
        <v>71</v>
      </c>
      <c r="I34" s="29">
        <f t="shared" ca="1" si="3"/>
        <v>22.900000000000006</v>
      </c>
    </row>
    <row r="35" spans="2:9" ht="15.75" thickBot="1">
      <c r="B35" s="46">
        <v>43651</v>
      </c>
      <c r="C35" s="47">
        <v>70</v>
      </c>
      <c r="D35" s="47">
        <v>52</v>
      </c>
      <c r="E35" s="48">
        <v>25.2</v>
      </c>
      <c r="F35" s="49">
        <f t="shared" si="0"/>
        <v>70.873666666666665</v>
      </c>
      <c r="G35" s="27">
        <f t="shared" ca="1" si="1"/>
        <v>70.875286265224673</v>
      </c>
      <c r="H35" s="30">
        <f t="shared" ca="1" si="2"/>
        <v>70.900000000000006</v>
      </c>
      <c r="I35" s="30">
        <f t="shared" ca="1" si="3"/>
        <v>22.800000000000011</v>
      </c>
    </row>
    <row r="36" spans="2:9" ht="15.75" thickTop="1"/>
    <row r="38" spans="2:9">
      <c r="B38" s="74" t="s">
        <v>10</v>
      </c>
      <c r="C38" s="74"/>
      <c r="D38">
        <v>0.05</v>
      </c>
    </row>
  </sheetData>
  <mergeCells count="3">
    <mergeCell ref="C4:E4"/>
    <mergeCell ref="B38:C38"/>
    <mergeCell ref="M4:O4"/>
  </mergeCells>
  <conditionalFormatting sqref="B6:E35">
    <cfRule type="expression" dxfId="21" priority="17">
      <formula>INT(ROW(B6)/2)-(ROW(B6)/2)&lt;&gt;0</formula>
    </cfRule>
    <cfRule type="expression" dxfId="20" priority="18">
      <formula>INT(ROW(B6)/2)-(ROW(B6)/2)=0</formula>
    </cfRule>
  </conditionalFormatting>
  <conditionalFormatting sqref="C6:E35">
    <cfRule type="expression" dxfId="19" priority="15">
      <formula>"iseven(row)"</formula>
    </cfRule>
    <cfRule type="expression" dxfId="18" priority="16">
      <formula>"iseven(row)"</formula>
    </cfRule>
  </conditionalFormatting>
  <conditionalFormatting sqref="F6:F35">
    <cfRule type="expression" dxfId="17" priority="13">
      <formula>INT(ROW(F6)/2)-(ROW(F6)/2)&lt;&gt;0</formula>
    </cfRule>
    <cfRule type="expression" dxfId="16" priority="14">
      <formula>INT(ROW(F6)/2)-(ROW(F6)/2)=0</formula>
    </cfRule>
  </conditionalFormatting>
  <conditionalFormatting sqref="F6:F35">
    <cfRule type="expression" dxfId="15" priority="11">
      <formula>"iseven(row)"</formula>
    </cfRule>
    <cfRule type="expression" dxfId="14" priority="12">
      <formula>"iseven(row)"</formula>
    </cfRule>
  </conditionalFormatting>
  <conditionalFormatting sqref="G6:G35">
    <cfRule type="expression" dxfId="13" priority="9">
      <formula>INT(ROW(G6)/2)-(ROW(G6)/2)&lt;&gt;0</formula>
    </cfRule>
    <cfRule type="expression" dxfId="12" priority="10">
      <formula>INT(ROW(G6)/2)-(ROW(G6)/2)=0</formula>
    </cfRule>
  </conditionalFormatting>
  <conditionalFormatting sqref="G6:G35">
    <cfRule type="expression" dxfId="11" priority="7">
      <formula>"iseven(row)"</formula>
    </cfRule>
    <cfRule type="expression" dxfId="10" priority="8">
      <formula>"iseven(row)"</formula>
    </cfRule>
  </conditionalFormatting>
  <conditionalFormatting sqref="G6:G35">
    <cfRule type="expression" dxfId="9" priority="5">
      <formula>INT(ROW(G6)/2)-(ROW(G6)/2)&lt;&gt;0</formula>
    </cfRule>
    <cfRule type="expression" dxfId="8" priority="6">
      <formula>INT(ROW(G6)/2)-(ROW(G6)/2)=0</formula>
    </cfRule>
  </conditionalFormatting>
  <conditionalFormatting sqref="H6:H35">
    <cfRule type="expression" dxfId="7" priority="3">
      <formula>INT(ROW(H6)/2)-(ROW(H6)/2)&lt;&gt;0</formula>
    </cfRule>
    <cfRule type="expression" dxfId="6" priority="4">
      <formula>INT(ROW(H6)/2)-(ROW(H6)/2)=0</formula>
    </cfRule>
  </conditionalFormatting>
  <conditionalFormatting sqref="I6:I35">
    <cfRule type="expression" dxfId="5" priority="1">
      <formula>INT(ROW(I6)/2)-(ROW(I6)/2)&lt;&gt;0</formula>
    </cfRule>
    <cfRule type="expression" dxfId="4" priority="2">
      <formula>INT(ROW(I6)/2)-(ROW(I6)/2)=0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Z46"/>
  <sheetViews>
    <sheetView tabSelected="1" topLeftCell="A29" workbookViewId="0">
      <selection activeCell="H46" sqref="H46"/>
    </sheetView>
  </sheetViews>
  <sheetFormatPr defaultRowHeight="15"/>
  <cols>
    <col min="4" max="4" width="20.140625" customWidth="1"/>
    <col min="6" max="6" width="15.85546875" bestFit="1" customWidth="1"/>
    <col min="9" max="9" width="15.85546875" bestFit="1" customWidth="1"/>
    <col min="26" max="26" width="15.85546875" bestFit="1" customWidth="1"/>
  </cols>
  <sheetData>
    <row r="2" spans="1:6" ht="15.75" thickBot="1"/>
    <row r="3" spans="1:6" ht="46.5" thickTop="1" thickBot="1">
      <c r="C3" s="1" t="s">
        <v>0</v>
      </c>
      <c r="D3" t="s">
        <v>13</v>
      </c>
    </row>
    <row r="4" spans="1:6" ht="16.5" thickTop="1" thickBot="1">
      <c r="C4" s="15" t="s">
        <v>1</v>
      </c>
      <c r="D4" t="s">
        <v>5</v>
      </c>
    </row>
    <row r="5" spans="1:6" ht="15.75" thickTop="1">
      <c r="C5" s="3">
        <v>43159</v>
      </c>
      <c r="D5">
        <v>-8.25</v>
      </c>
      <c r="E5">
        <f>-D5*(C45-C5)/(D45-D5)</f>
        <v>20.952380952380953</v>
      </c>
      <c r="F5" s="35">
        <f>C5+E5+0.5</f>
        <v>43180.452380952382</v>
      </c>
    </row>
    <row r="6" spans="1:6">
      <c r="C6" s="3">
        <v>43160</v>
      </c>
      <c r="D6">
        <v>-8</v>
      </c>
      <c r="E6">
        <f>-D6*(C44-C6)/(D44-D6)</f>
        <v>19.301587301587301</v>
      </c>
      <c r="F6" s="35">
        <f t="shared" ref="F6:F24" si="0">C6+E6+0.5</f>
        <v>43179.80158730159</v>
      </c>
    </row>
    <row r="7" spans="1:6">
      <c r="A7" s="36"/>
      <c r="C7" s="3">
        <v>43161</v>
      </c>
      <c r="D7">
        <v>-7.25</v>
      </c>
      <c r="E7">
        <f>-D7*(C43-C7)/(D43-D7)</f>
        <v>18.642857142857142</v>
      </c>
      <c r="F7" s="35">
        <f t="shared" si="0"/>
        <v>43180.142857142855</v>
      </c>
    </row>
    <row r="8" spans="1:6">
      <c r="A8" s="67"/>
      <c r="C8" s="3">
        <v>43162</v>
      </c>
      <c r="D8">
        <v>-6.25</v>
      </c>
      <c r="E8">
        <f>-D8*(C42-C8)/(D42-D8)</f>
        <v>17</v>
      </c>
      <c r="F8" s="35">
        <f t="shared" si="0"/>
        <v>43179.5</v>
      </c>
    </row>
    <row r="9" spans="1:6">
      <c r="C9" s="3">
        <v>43163</v>
      </c>
      <c r="D9">
        <v>-6.25</v>
      </c>
      <c r="E9">
        <f>-D9*(C41-C9)/(D41-D9)</f>
        <v>16</v>
      </c>
      <c r="F9" s="35">
        <f t="shared" si="0"/>
        <v>43179.5</v>
      </c>
    </row>
    <row r="10" spans="1:6">
      <c r="C10" s="3">
        <v>43164</v>
      </c>
      <c r="D10">
        <v>-5.75</v>
      </c>
      <c r="E10">
        <f>-D10*(C40-C10)/(D40-D10)</f>
        <v>14.375</v>
      </c>
      <c r="F10" s="35">
        <f t="shared" si="0"/>
        <v>43178.875</v>
      </c>
    </row>
    <row r="11" spans="1:6">
      <c r="C11" s="3">
        <v>43165</v>
      </c>
      <c r="D11">
        <v>-5.25</v>
      </c>
      <c r="E11">
        <f>-D11*(C39-C11)/(D39-D11)</f>
        <v>14</v>
      </c>
      <c r="F11" s="35">
        <f t="shared" si="0"/>
        <v>43179.5</v>
      </c>
    </row>
    <row r="12" spans="1:6">
      <c r="C12" s="3">
        <v>43166</v>
      </c>
      <c r="D12">
        <v>-4.75</v>
      </c>
      <c r="E12">
        <f>-D12*(C38-C12)/(D38-D12)</f>
        <v>12.666666666666666</v>
      </c>
      <c r="F12" s="35">
        <f t="shared" si="0"/>
        <v>43179.166666666664</v>
      </c>
    </row>
    <row r="13" spans="1:6">
      <c r="C13" s="3">
        <v>43167</v>
      </c>
      <c r="D13">
        <v>-4.5</v>
      </c>
      <c r="E13">
        <f>-D13*(C37-C13)/(D37-D13)</f>
        <v>12</v>
      </c>
      <c r="F13" s="35">
        <f t="shared" si="0"/>
        <v>43179.5</v>
      </c>
    </row>
    <row r="14" spans="1:6">
      <c r="C14" s="3">
        <v>43168</v>
      </c>
      <c r="D14">
        <v>-4.25</v>
      </c>
      <c r="E14">
        <f>-D14*(C36-C14)/(D36-D14)</f>
        <v>10.685714285714285</v>
      </c>
      <c r="F14" s="35">
        <f t="shared" si="0"/>
        <v>43179.185714285712</v>
      </c>
    </row>
    <row r="15" spans="1:6">
      <c r="A15" s="67"/>
      <c r="C15" s="3">
        <v>43169</v>
      </c>
      <c r="D15">
        <v>-4.25</v>
      </c>
      <c r="E15">
        <f>-D15*(C35-C15)/(D35-D15)</f>
        <v>10.303030303030303</v>
      </c>
      <c r="F15" s="35">
        <f t="shared" si="0"/>
        <v>43179.803030303032</v>
      </c>
    </row>
    <row r="16" spans="1:6">
      <c r="C16" s="3">
        <v>43170</v>
      </c>
      <c r="D16">
        <v>-3.5</v>
      </c>
      <c r="E16">
        <f>-D16*(C34-C16)/(D34-D16)</f>
        <v>8.6896551724137936</v>
      </c>
      <c r="F16" s="35">
        <f t="shared" si="0"/>
        <v>43179.189655172413</v>
      </c>
    </row>
    <row r="17" spans="1:26">
      <c r="C17" s="3">
        <v>43171</v>
      </c>
      <c r="D17">
        <v>-3</v>
      </c>
      <c r="E17">
        <f>-D17*(C33-C17)/(D33-D17)</f>
        <v>7.68</v>
      </c>
      <c r="F17" s="35">
        <f t="shared" si="0"/>
        <v>43179.18</v>
      </c>
    </row>
    <row r="18" spans="1:26">
      <c r="A18" s="67"/>
      <c r="C18" s="3">
        <v>43172</v>
      </c>
      <c r="D18">
        <v>-3</v>
      </c>
      <c r="E18">
        <f>-D18*(C32-C18)/(D32-D18)</f>
        <v>7</v>
      </c>
      <c r="F18" s="35">
        <f t="shared" si="0"/>
        <v>43179.5</v>
      </c>
    </row>
    <row r="19" spans="1:26">
      <c r="A19" s="36"/>
      <c r="C19" s="3">
        <v>43173</v>
      </c>
      <c r="D19">
        <v>-2.25</v>
      </c>
      <c r="E19">
        <f>-D19*(C31-C19)/(D31-D19)</f>
        <v>6</v>
      </c>
      <c r="F19" s="35">
        <f t="shared" si="0"/>
        <v>43179.5</v>
      </c>
    </row>
    <row r="20" spans="1:26">
      <c r="A20" s="36"/>
      <c r="C20" s="3">
        <v>43174</v>
      </c>
      <c r="D20">
        <v>-1.75</v>
      </c>
      <c r="E20">
        <f>-D20*(C30-C20)/(D30-D20)</f>
        <v>4.375</v>
      </c>
      <c r="F20" s="35">
        <f t="shared" si="0"/>
        <v>43178.875</v>
      </c>
    </row>
    <row r="21" spans="1:26">
      <c r="A21" s="67"/>
      <c r="C21" s="3">
        <v>43175</v>
      </c>
      <c r="D21">
        <v>-1.75</v>
      </c>
      <c r="E21">
        <f>-D21*(C29-C21)/(D29-D21)</f>
        <v>4</v>
      </c>
      <c r="F21" s="35">
        <f t="shared" si="0"/>
        <v>43179.5</v>
      </c>
    </row>
    <row r="22" spans="1:26">
      <c r="A22" s="67"/>
      <c r="C22" s="3">
        <v>43176</v>
      </c>
      <c r="D22">
        <v>-1</v>
      </c>
      <c r="E22">
        <f>-D22*(C28-C22)/(D28-D22)</f>
        <v>3</v>
      </c>
      <c r="F22" s="35">
        <f t="shared" si="0"/>
        <v>43179.5</v>
      </c>
    </row>
    <row r="23" spans="1:26">
      <c r="C23" s="5">
        <v>43177</v>
      </c>
      <c r="D23">
        <v>-1</v>
      </c>
      <c r="E23">
        <f>-D23*(C27-C23)/(D27-D23)</f>
        <v>2</v>
      </c>
      <c r="F23" s="35">
        <f t="shared" si="0"/>
        <v>43179.5</v>
      </c>
    </row>
    <row r="24" spans="1:26">
      <c r="C24" s="3">
        <v>43178</v>
      </c>
      <c r="D24">
        <v>-0.5</v>
      </c>
      <c r="E24">
        <f>-D24*(C26-C24)/(D26-D24)</f>
        <v>1</v>
      </c>
      <c r="F24" s="35">
        <f t="shared" si="0"/>
        <v>43179.5</v>
      </c>
    </row>
    <row r="25" spans="1:26">
      <c r="A25" s="64"/>
      <c r="C25" s="8">
        <v>43179</v>
      </c>
      <c r="D25">
        <v>0</v>
      </c>
      <c r="E25" s="65" t="s">
        <v>14</v>
      </c>
      <c r="F25" s="66">
        <f>AVERAGE(F5:F24)</f>
        <v>43179.483594591235</v>
      </c>
    </row>
    <row r="26" spans="1:26">
      <c r="C26" s="3">
        <v>43180</v>
      </c>
      <c r="D26">
        <v>0.5</v>
      </c>
      <c r="E26" s="65" t="s">
        <v>15</v>
      </c>
      <c r="F26" s="65">
        <f>STDEV(F5:F24)</f>
        <v>0.37609802992856634</v>
      </c>
    </row>
    <row r="27" spans="1:26">
      <c r="C27" s="8">
        <v>43181</v>
      </c>
      <c r="D27">
        <v>1</v>
      </c>
    </row>
    <row r="28" spans="1:26">
      <c r="A28" s="67"/>
      <c r="C28" s="12">
        <v>43182</v>
      </c>
      <c r="D28">
        <v>1</v>
      </c>
    </row>
    <row r="29" spans="1:26">
      <c r="C29" s="8">
        <v>43183</v>
      </c>
      <c r="D29">
        <v>1.75</v>
      </c>
    </row>
    <row r="30" spans="1:26">
      <c r="C30" s="12">
        <v>43184</v>
      </c>
      <c r="D30">
        <v>2.25</v>
      </c>
    </row>
    <row r="31" spans="1:26">
      <c r="A31" s="67"/>
      <c r="C31" s="8">
        <v>43185</v>
      </c>
      <c r="D31">
        <v>2.25</v>
      </c>
    </row>
    <row r="32" spans="1:26">
      <c r="C32" s="12">
        <v>43186</v>
      </c>
      <c r="D32">
        <v>3</v>
      </c>
      <c r="Z32" s="35">
        <f>(16914/0.391)+0.5</f>
        <v>43258.812020460355</v>
      </c>
    </row>
    <row r="33" spans="1:26">
      <c r="C33" s="8">
        <v>43187</v>
      </c>
      <c r="D33">
        <v>3.25</v>
      </c>
    </row>
    <row r="34" spans="1:26">
      <c r="C34" s="12">
        <v>43188</v>
      </c>
      <c r="D34">
        <v>3.75</v>
      </c>
    </row>
    <row r="35" spans="1:26">
      <c r="C35" s="8">
        <v>43189</v>
      </c>
      <c r="D35">
        <v>4</v>
      </c>
    </row>
    <row r="36" spans="1:26">
      <c r="C36" s="12">
        <v>43190</v>
      </c>
      <c r="D36">
        <v>4.5</v>
      </c>
      <c r="Z36" s="68">
        <v>43155.5</v>
      </c>
    </row>
    <row r="37" spans="1:26">
      <c r="A37" s="67"/>
      <c r="C37" s="8">
        <v>43191</v>
      </c>
      <c r="D37">
        <v>4.5</v>
      </c>
    </row>
    <row r="38" spans="1:26">
      <c r="C38" s="12">
        <v>43192</v>
      </c>
      <c r="D38">
        <v>5</v>
      </c>
      <c r="Z38" s="35">
        <v>47480.31</v>
      </c>
    </row>
    <row r="39" spans="1:26">
      <c r="C39" s="8">
        <v>43193</v>
      </c>
      <c r="D39">
        <v>5.25</v>
      </c>
    </row>
    <row r="40" spans="1:26">
      <c r="A40" s="67"/>
      <c r="C40" s="8">
        <v>43194</v>
      </c>
      <c r="D40">
        <v>6.25</v>
      </c>
    </row>
    <row r="41" spans="1:26">
      <c r="A41" s="67"/>
      <c r="C41" s="8">
        <v>43195</v>
      </c>
      <c r="D41">
        <v>6.25</v>
      </c>
    </row>
    <row r="42" spans="1:26">
      <c r="C42" s="8">
        <v>43196</v>
      </c>
      <c r="D42">
        <v>6.25</v>
      </c>
    </row>
    <row r="43" spans="1:26">
      <c r="C43" s="8">
        <v>43197</v>
      </c>
      <c r="D43">
        <v>6.75</v>
      </c>
      <c r="H43" s="68"/>
      <c r="I43" s="35"/>
    </row>
    <row r="44" spans="1:26">
      <c r="A44" s="67"/>
      <c r="C44" s="8">
        <v>43198</v>
      </c>
      <c r="D44">
        <v>7.75</v>
      </c>
    </row>
    <row r="45" spans="1:26" ht="15.75" thickBot="1">
      <c r="C45" s="21">
        <v>43199</v>
      </c>
      <c r="D45">
        <v>7.5</v>
      </c>
    </row>
    <row r="46" spans="1:26" ht="15.75" thickTop="1"/>
  </sheetData>
  <conditionalFormatting sqref="C5:C45">
    <cfRule type="expression" dxfId="3" priority="1">
      <formula>INT(ROW(C5)/2)-(ROW(C5)/2)&lt;&gt;0</formula>
    </cfRule>
    <cfRule type="expression" dxfId="2" priority="2">
      <formula>INT(ROW(C5)/2)-(ROW(C5)/2)=0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3:AW39"/>
  <sheetViews>
    <sheetView topLeftCell="AF15" workbookViewId="0">
      <selection activeCell="AN35" sqref="AN35"/>
    </sheetView>
  </sheetViews>
  <sheetFormatPr defaultRowHeight="15"/>
  <cols>
    <col min="8" max="9" width="15.85546875" bestFit="1" customWidth="1"/>
    <col min="10" max="10" width="17.140625" customWidth="1"/>
    <col min="11" max="36" width="15.85546875" bestFit="1" customWidth="1"/>
  </cols>
  <sheetData>
    <row r="3" spans="2:49" ht="15.75" thickBot="1"/>
    <row r="4" spans="2:49" ht="46.5" thickTop="1" thickBot="1">
      <c r="D4" s="1" t="s">
        <v>0</v>
      </c>
      <c r="E4" t="s">
        <v>13</v>
      </c>
    </row>
    <row r="5" spans="2:49" ht="16.5" thickTop="1" thickBot="1">
      <c r="D5" s="15" t="s">
        <v>1</v>
      </c>
      <c r="E5" t="s">
        <v>5</v>
      </c>
    </row>
    <row r="6" spans="2:49" ht="15.75" thickTop="1">
      <c r="D6" s="3">
        <v>43159</v>
      </c>
      <c r="E6">
        <v>-8.25</v>
      </c>
      <c r="H6" s="35">
        <f>0.5+D7-E7*(D7-D$6)/(E7-E$6)</f>
        <v>43192.5</v>
      </c>
      <c r="I6" s="35">
        <f>0.5+D8-E8*(D8-D$7)/(E8-E$7)</f>
        <v>43171.166666666664</v>
      </c>
      <c r="J6" s="35">
        <f>0.5+D9-E9*(D9-D$8)/(E9-E$8)</f>
        <v>43176</v>
      </c>
      <c r="K6" s="35">
        <f>0.5+D10-E10*(D10-D$9)/(E10-E$9)</f>
        <v>43176</v>
      </c>
      <c r="L6" s="35">
        <f>0.5+D11-E11*(D11-D$10)/(E11-E$10)</f>
        <v>43176</v>
      </c>
      <c r="M6" s="35">
        <f>0.5+D12-E12*(D12-D$11)/(E12-E$11)</f>
        <v>43176</v>
      </c>
      <c r="N6" s="35">
        <f>0.5+D13-E13*(D13-D$12)/(E13-E$12)</f>
        <v>43185.5</v>
      </c>
      <c r="O6" s="35">
        <f>0.5+D14-E14*(D14-D$13)/(E14-E$13)</f>
        <v>43185.5</v>
      </c>
      <c r="P6" s="35">
        <f>0.5+D15-E15*(D15-D$14)/(E15-E$14)</f>
        <v>43179.833333333336</v>
      </c>
      <c r="Q6" s="35">
        <f>0.5+D16-E16*(D16-D$15)/(E16-E$15)</f>
        <v>43177.5</v>
      </c>
      <c r="R6" s="35">
        <f>0.5+D17-E17*(D17-D$16)/(E17-E$16)</f>
        <v>43179.5</v>
      </c>
      <c r="S6" s="35">
        <f>0.5+D18-E18*(D18-D$17)/(E18-E$17)</f>
        <v>43178</v>
      </c>
      <c r="T6" s="35">
        <f>0.5+D19-E19*(D19-D$18)/(E19-E$18)</f>
        <v>43181.5</v>
      </c>
      <c r="U6" s="35">
        <f>0.5+D20-E20*(D20-D$19)/(E20-E$19)</f>
        <v>43179.5</v>
      </c>
      <c r="V6" s="35">
        <f>0.5+D21-E21*(D21-D$20)/(E21-E$20)</f>
        <v>43179.5</v>
      </c>
      <c r="W6" s="35">
        <f>0.5+D22-E22*(D22-D$21)/(E22-E$21)</f>
        <v>43179.5</v>
      </c>
      <c r="X6" s="35">
        <f>0.5+D23-E23*(D23-D$22)/(E23-E$22)</f>
        <v>43179.5</v>
      </c>
      <c r="Y6" s="35">
        <f>0.5+D24-E24*(D24-D$23)/(E24-E$23)</f>
        <v>43178.833333333336</v>
      </c>
      <c r="Z6" s="35">
        <f>0.5+D25-E25*(D25-D$24)/(E25-E$24)</f>
        <v>43180</v>
      </c>
      <c r="AA6" s="35">
        <f>0.5+D26-E26*(D26-D$25)/(E26-E$25)</f>
        <v>43178.5</v>
      </c>
      <c r="AB6" s="35">
        <f>0.5+D27-E27*(D27-D$26)/(E27-E$26)</f>
        <v>43174.5</v>
      </c>
      <c r="AC6" s="35">
        <f>0.5+D28-E28*(D28-D$27)/(E28-E$27)</f>
        <v>43181</v>
      </c>
      <c r="AD6" s="35">
        <f>0.5+D29-E29*(D29-D$28)/(E29-E$28)</f>
        <v>43173.5</v>
      </c>
      <c r="AE6" s="35">
        <f>0.5+D30-E30*(D30-D$29)/(E30-E$29)</f>
        <v>43181.5</v>
      </c>
      <c r="AF6" s="35">
        <f>0.5+D31-E31*(D31-D$30)/(E31-E$30)</f>
        <v>43172.5</v>
      </c>
      <c r="AG6" s="35">
        <f>0.5+D32-E32*(D32-D$31)/(E32-E$31)</f>
        <v>43172.5</v>
      </c>
      <c r="AH6" s="35">
        <f>0.5+D33-E33*(D33-D$32)/(E33-E$32)</f>
        <v>43177.75</v>
      </c>
      <c r="AI6" s="35">
        <f>0.5+D34-E34*(D34-D$33)/(E34-E$33)</f>
        <v>43184</v>
      </c>
      <c r="AJ6" s="35">
        <f>0.5+D35-E35*(D35-D$34)/(E35-E$34)</f>
        <v>43179.5</v>
      </c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</row>
    <row r="7" spans="2:49">
      <c r="D7" s="3">
        <v>43160</v>
      </c>
      <c r="E7">
        <v>-8</v>
      </c>
      <c r="H7" s="35">
        <f t="shared" ref="H7:H34" si="0">0.5+D8-E8*(D8-D$6)/(E8-E$6)</f>
        <v>43176</v>
      </c>
      <c r="I7" s="35">
        <f t="shared" ref="I7:I33" si="1">0.5+D9-E9*(D9-D$7)/(E9-E$7)</f>
        <v>43174.214285714283</v>
      </c>
      <c r="J7" s="35">
        <f t="shared" ref="J7:J32" si="2">0.5+D10-E10*(D10-D$8)/(E10-E$8)</f>
        <v>43176</v>
      </c>
      <c r="K7" s="35">
        <f t="shared" ref="K7:K31" si="3">0.5+D11-E11*(D11-D$9)/(E11-E$9)</f>
        <v>43176</v>
      </c>
      <c r="L7" s="35">
        <f t="shared" ref="L7:L30" si="4">0.5+D12-E12*(D12-D$10)/(E12-E$10)</f>
        <v>43176</v>
      </c>
      <c r="M7" s="35">
        <f t="shared" ref="M7:M29" si="5">0.5+D13-E13*(D13-D$11)/(E13-E$11)</f>
        <v>43179.5</v>
      </c>
      <c r="N7" s="35">
        <f t="shared" ref="N7:N28" si="6">0.5+D14-E14*(D14-D$12)/(E14-E$12)</f>
        <v>43185.5</v>
      </c>
      <c r="O7" s="35">
        <f t="shared" ref="O7:O27" si="7">0.5+D15-E15*(D15-D$13)/(E15-E$13)</f>
        <v>43181</v>
      </c>
      <c r="P7" s="35">
        <f t="shared" ref="P7:P26" si="8">0.5+D16-E16*(D16-D$14)/(E16-E$14)</f>
        <v>43178.7</v>
      </c>
      <c r="Q7" s="35">
        <f t="shared" ref="Q7:Q25" si="9">0.5+D17-E17*(D17-D$15)/(E17-E$15)</f>
        <v>43178.9</v>
      </c>
      <c r="R7" s="35">
        <f t="shared" ref="R7:R24" si="10">0.5+D18-E18*(D18-D$16)/(E18-E$16)</f>
        <v>43178.7</v>
      </c>
      <c r="S7" s="35">
        <f t="shared" ref="S7:S23" si="11">0.5+D19-E19*(D19-D$17)/(E19-E$17)</f>
        <v>43180.7</v>
      </c>
      <c r="T7" s="35">
        <f t="shared" ref="T7:T22" si="12">0.5+D20-E20*(D20-D$18)/(E20-E$18)</f>
        <v>43180.1</v>
      </c>
      <c r="U7" s="35">
        <f t="shared" ref="U7:U21" si="13">0.5+D21-E21*(D21-D$19)/(E21-E$19)</f>
        <v>43179.5</v>
      </c>
      <c r="V7" s="35">
        <f t="shared" ref="V7:V20" si="14">0.5+D22-E22*(D22-D$20)/(E22-E$20)</f>
        <v>43179.5</v>
      </c>
      <c r="W7" s="35">
        <f t="shared" ref="W7:W19" si="15">0.5+D23-E23*(D23-D$21)/(E23-E$21)</f>
        <v>43179.5</v>
      </c>
      <c r="X7" s="35">
        <f t="shared" ref="X7:X18" si="16">0.5+D24-E24*(D24-D$22)/(E24-E$22)</f>
        <v>43179.3</v>
      </c>
      <c r="Y7" s="35">
        <f t="shared" ref="Y7:Y17" si="17">0.5+D25-E25*(D25-D$23)/(E25-E$23)</f>
        <v>43179.1</v>
      </c>
      <c r="Z7" s="35">
        <f t="shared" ref="Z7:Z16" si="18">0.5+D26-E26*(D26-D$24)/(E26-E$24)</f>
        <v>43179.3</v>
      </c>
      <c r="AA7" s="35">
        <f t="shared" ref="AA7:AA15" si="19">0.5+D27-E27*(D27-D$25)/(E27-E$25)</f>
        <v>43177.75</v>
      </c>
      <c r="AB7" s="35">
        <f t="shared" ref="AB7:AB14" si="20">0.5+D28-E28*(D28-D$26)/(E28-E$26)</f>
        <v>43178.5</v>
      </c>
      <c r="AC7" s="35">
        <f t="shared" ref="AC7:AC13" si="21">0.5+D29-E29*(D29-D$27)/(E29-E$27)</f>
        <v>43178.833333333336</v>
      </c>
      <c r="AD7" s="35">
        <f t="shared" ref="AD7:AD12" si="22">0.5+D30-E30*(D30-D$28)/(E30-E$28)</f>
        <v>43178.5</v>
      </c>
      <c r="AE7" s="35">
        <f t="shared" ref="AE7:AE11" si="23">0.5+D31-E31*(D31-D$29)/(E31-E$29)</f>
        <v>43177.5</v>
      </c>
      <c r="AF7" s="35">
        <f t="shared" ref="AF7:AF10" si="24">0.5+D32-E32*(D32-D$30)/(E32-E$30)</f>
        <v>43172.5</v>
      </c>
      <c r="AG7" s="35">
        <f t="shared" ref="AG7:AG9" si="25">0.5+D33-E33*(D33-D$31)/(E33-E$31)</f>
        <v>43176.5</v>
      </c>
      <c r="AH7" s="35">
        <f t="shared" ref="AH7:AH8" si="26">0.5+D34-E34*(D34-D$32)/(E34-E$32)</f>
        <v>43179.5</v>
      </c>
      <c r="AI7" s="35">
        <f>0.5+D35-E35*(D35-D$33)/(E35-E$33)</f>
        <v>43181.5</v>
      </c>
    </row>
    <row r="8" spans="2:49">
      <c r="B8" s="36"/>
      <c r="D8" s="3">
        <v>43161</v>
      </c>
      <c r="E8">
        <v>-7.25</v>
      </c>
      <c r="H8" s="35">
        <f t="shared" si="0"/>
        <v>43176</v>
      </c>
      <c r="I8" s="35">
        <f t="shared" si="1"/>
        <v>43174.722222222219</v>
      </c>
      <c r="J8" s="35">
        <f t="shared" si="2"/>
        <v>43176</v>
      </c>
      <c r="K8" s="35">
        <f t="shared" si="3"/>
        <v>43176</v>
      </c>
      <c r="L8" s="35">
        <f t="shared" si="4"/>
        <v>43178.3</v>
      </c>
      <c r="M8" s="35">
        <f t="shared" si="5"/>
        <v>43181.25</v>
      </c>
      <c r="N8" s="35">
        <f t="shared" si="6"/>
        <v>43181.7</v>
      </c>
      <c r="O8" s="35">
        <f t="shared" si="7"/>
        <v>43179.5</v>
      </c>
      <c r="P8" s="35">
        <f t="shared" si="8"/>
        <v>43179.125</v>
      </c>
      <c r="Q8" s="35">
        <f t="shared" si="9"/>
        <v>43178.5</v>
      </c>
      <c r="R8" s="35">
        <f t="shared" si="10"/>
        <v>43180.5</v>
      </c>
      <c r="S8" s="35">
        <f t="shared" si="11"/>
        <v>43179.928571428572</v>
      </c>
      <c r="T8" s="35">
        <f t="shared" si="12"/>
        <v>43179.5</v>
      </c>
      <c r="U8" s="35">
        <f t="shared" si="13"/>
        <v>43179.5</v>
      </c>
      <c r="V8" s="35">
        <f t="shared" si="14"/>
        <v>43179.5</v>
      </c>
      <c r="W8" s="35">
        <f t="shared" si="15"/>
        <v>43179.5</v>
      </c>
      <c r="X8" s="35">
        <f t="shared" si="16"/>
        <v>43179.357142857145</v>
      </c>
      <c r="Y8" s="35">
        <f t="shared" si="17"/>
        <v>43179</v>
      </c>
      <c r="Z8" s="35">
        <f t="shared" si="18"/>
        <v>43178.833333333336</v>
      </c>
      <c r="AA8" s="35">
        <f t="shared" si="19"/>
        <v>43178.5</v>
      </c>
      <c r="AB8" s="35">
        <f t="shared" si="20"/>
        <v>43177.5</v>
      </c>
      <c r="AC8" s="35">
        <f t="shared" si="21"/>
        <v>43179.7</v>
      </c>
      <c r="AD8" s="35">
        <f t="shared" si="22"/>
        <v>43176.5</v>
      </c>
      <c r="AE8" s="35">
        <f t="shared" si="23"/>
        <v>43176.7</v>
      </c>
      <c r="AF8" s="35">
        <f t="shared" si="24"/>
        <v>43175.071428571428</v>
      </c>
      <c r="AG8" s="35">
        <f t="shared" si="25"/>
        <v>43178.214285714283</v>
      </c>
      <c r="AH8" s="35">
        <f t="shared" si="26"/>
        <v>43179.5</v>
      </c>
    </row>
    <row r="9" spans="2:49">
      <c r="D9" s="3">
        <v>43163</v>
      </c>
      <c r="E9">
        <v>-6.25</v>
      </c>
      <c r="H9" s="35">
        <f t="shared" si="0"/>
        <v>43176</v>
      </c>
      <c r="I9" s="35">
        <f t="shared" si="1"/>
        <v>43175.045454545456</v>
      </c>
      <c r="J9" s="35">
        <f t="shared" si="2"/>
        <v>43176</v>
      </c>
      <c r="K9" s="35">
        <f t="shared" si="3"/>
        <v>43177.785714285717</v>
      </c>
      <c r="L9" s="35">
        <f t="shared" si="4"/>
        <v>43179.833333333336</v>
      </c>
      <c r="M9" s="35">
        <f t="shared" si="5"/>
        <v>43180.5</v>
      </c>
      <c r="N9" s="35">
        <f t="shared" si="6"/>
        <v>43180.071428571428</v>
      </c>
      <c r="O9" s="35">
        <f t="shared" si="7"/>
        <v>43179.5</v>
      </c>
      <c r="P9" s="35">
        <f t="shared" si="8"/>
        <v>43178.7</v>
      </c>
      <c r="Q9" s="35">
        <f t="shared" si="9"/>
        <v>43180.3</v>
      </c>
      <c r="R9" s="35">
        <f t="shared" si="10"/>
        <v>43179.9</v>
      </c>
      <c r="S9" s="35">
        <f t="shared" si="11"/>
        <v>43179.5</v>
      </c>
      <c r="T9" s="35">
        <f t="shared" si="12"/>
        <v>43179.166666666664</v>
      </c>
      <c r="U9" s="35">
        <f t="shared" si="13"/>
        <v>43179.5</v>
      </c>
      <c r="V9" s="35">
        <f t="shared" si="14"/>
        <v>43179.611111111109</v>
      </c>
      <c r="W9" s="35">
        <f t="shared" si="15"/>
        <v>43179.5</v>
      </c>
      <c r="X9" s="35">
        <f t="shared" si="16"/>
        <v>43179.3</v>
      </c>
      <c r="Y9" s="35">
        <f t="shared" si="17"/>
        <v>43178.833333333336</v>
      </c>
      <c r="Z9" s="35">
        <f t="shared" si="18"/>
        <v>43179.125</v>
      </c>
      <c r="AA9" s="35">
        <f t="shared" si="19"/>
        <v>43178.071428571428</v>
      </c>
      <c r="AB9" s="35">
        <f t="shared" si="20"/>
        <v>43178.5</v>
      </c>
      <c r="AC9" s="35">
        <f t="shared" si="21"/>
        <v>43178.214285714283</v>
      </c>
      <c r="AD9" s="35">
        <f t="shared" si="22"/>
        <v>43176</v>
      </c>
      <c r="AE9" s="35">
        <f t="shared" si="23"/>
        <v>43177.055555555555</v>
      </c>
      <c r="AF9" s="35">
        <f t="shared" si="24"/>
        <v>43176.5</v>
      </c>
      <c r="AG9" s="35">
        <f t="shared" si="25"/>
        <v>43178.5</v>
      </c>
    </row>
    <row r="10" spans="2:49">
      <c r="D10" s="3">
        <v>43164</v>
      </c>
      <c r="E10">
        <v>-5.75</v>
      </c>
      <c r="H10" s="35">
        <f t="shared" si="0"/>
        <v>43176</v>
      </c>
      <c r="I10" s="35">
        <f t="shared" si="1"/>
        <v>43175.269230769234</v>
      </c>
      <c r="J10" s="35">
        <f t="shared" si="2"/>
        <v>43177.318181818184</v>
      </c>
      <c r="K10" s="35">
        <f t="shared" si="3"/>
        <v>43179.125</v>
      </c>
      <c r="L10" s="35">
        <f t="shared" si="4"/>
        <v>43179.833333333336</v>
      </c>
      <c r="M10" s="35">
        <f t="shared" si="5"/>
        <v>43179.5</v>
      </c>
      <c r="N10" s="35">
        <f t="shared" si="6"/>
        <v>43179.8</v>
      </c>
      <c r="O10" s="35">
        <f t="shared" si="7"/>
        <v>43178.954545454544</v>
      </c>
      <c r="P10" s="35">
        <f t="shared" si="8"/>
        <v>43180.269230769234</v>
      </c>
      <c r="Q10" s="35">
        <f t="shared" si="9"/>
        <v>43179.833333333336</v>
      </c>
      <c r="R10" s="35">
        <f t="shared" si="10"/>
        <v>43179.5</v>
      </c>
      <c r="S10" s="35">
        <f t="shared" si="11"/>
        <v>43179.227272727272</v>
      </c>
      <c r="T10" s="35">
        <f t="shared" si="12"/>
        <v>43178.954545454544</v>
      </c>
      <c r="U10" s="35">
        <f t="shared" si="13"/>
        <v>43179.681818181816</v>
      </c>
      <c r="V10" s="35">
        <f t="shared" si="14"/>
        <v>43179.590909090912</v>
      </c>
      <c r="W10" s="35">
        <f t="shared" si="15"/>
        <v>43179.5</v>
      </c>
      <c r="X10" s="35">
        <f t="shared" si="16"/>
        <v>43179.227272727272</v>
      </c>
      <c r="Y10" s="35">
        <f t="shared" si="17"/>
        <v>43178.954545454544</v>
      </c>
      <c r="Z10" s="35">
        <f t="shared" si="18"/>
        <v>43178.833333333336</v>
      </c>
      <c r="AA10" s="35">
        <f t="shared" si="19"/>
        <v>43178.5</v>
      </c>
      <c r="AB10" s="35">
        <f t="shared" si="20"/>
        <v>43177.5</v>
      </c>
      <c r="AC10" s="35">
        <f t="shared" si="21"/>
        <v>43177.75</v>
      </c>
      <c r="AD10" s="35">
        <f t="shared" si="22"/>
        <v>43176.5</v>
      </c>
      <c r="AE10" s="35">
        <f t="shared" si="23"/>
        <v>43177.86363636364</v>
      </c>
      <c r="AF10" s="35">
        <f t="shared" si="24"/>
        <v>43177</v>
      </c>
    </row>
    <row r="11" spans="2:49">
      <c r="D11" s="3">
        <v>43165</v>
      </c>
      <c r="E11">
        <v>-5.25</v>
      </c>
      <c r="H11" s="35">
        <f t="shared" si="0"/>
        <v>43176</v>
      </c>
      <c r="I11" s="35">
        <f t="shared" si="1"/>
        <v>43176.5</v>
      </c>
      <c r="J11" s="35">
        <f t="shared" si="2"/>
        <v>43178.416666666664</v>
      </c>
      <c r="K11" s="35">
        <f t="shared" si="3"/>
        <v>43179.409090909088</v>
      </c>
      <c r="L11" s="35">
        <f t="shared" si="4"/>
        <v>43179.13636363636</v>
      </c>
      <c r="M11" s="35">
        <f t="shared" si="5"/>
        <v>43179.5</v>
      </c>
      <c r="N11" s="35">
        <f t="shared" si="6"/>
        <v>43179.166666666664</v>
      </c>
      <c r="O11" s="35">
        <f t="shared" si="7"/>
        <v>43180.357142857145</v>
      </c>
      <c r="P11" s="35">
        <f t="shared" si="8"/>
        <v>43179.833333333336</v>
      </c>
      <c r="Q11" s="35">
        <f t="shared" si="9"/>
        <v>43179.5</v>
      </c>
      <c r="R11" s="35">
        <f t="shared" si="10"/>
        <v>43179.214285714283</v>
      </c>
      <c r="S11" s="35">
        <f t="shared" si="11"/>
        <v>43179.038461538461</v>
      </c>
      <c r="T11" s="35">
        <f t="shared" si="12"/>
        <v>43179</v>
      </c>
      <c r="U11" s="35">
        <f t="shared" si="13"/>
        <v>43179.653846153844</v>
      </c>
      <c r="V11" s="35">
        <f t="shared" si="14"/>
        <v>43179.642857142855</v>
      </c>
      <c r="W11" s="35">
        <f t="shared" si="15"/>
        <v>43179.5</v>
      </c>
      <c r="X11" s="35">
        <f t="shared" si="16"/>
        <v>43179.269230769234</v>
      </c>
      <c r="Y11" s="35">
        <f t="shared" si="17"/>
        <v>43178.833333333336</v>
      </c>
      <c r="Z11" s="35">
        <f t="shared" si="18"/>
        <v>43179.045454545456</v>
      </c>
      <c r="AA11" s="35">
        <f t="shared" si="19"/>
        <v>43177.954545454544</v>
      </c>
      <c r="AB11" s="35">
        <f t="shared" si="20"/>
        <v>43177.166666666664</v>
      </c>
      <c r="AC11" s="35">
        <f t="shared" si="21"/>
        <v>43177.75</v>
      </c>
      <c r="AD11" s="35">
        <f t="shared" si="22"/>
        <v>43177.25</v>
      </c>
      <c r="AE11" s="35">
        <f t="shared" si="23"/>
        <v>43178.071428571428</v>
      </c>
    </row>
    <row r="12" spans="2:49">
      <c r="D12" s="3">
        <v>43166</v>
      </c>
      <c r="E12">
        <v>-4.75</v>
      </c>
      <c r="H12" s="35">
        <f t="shared" si="0"/>
        <v>43177.1</v>
      </c>
      <c r="I12" s="35">
        <f t="shared" si="1"/>
        <v>43177.566666666666</v>
      </c>
      <c r="J12" s="35">
        <f t="shared" si="2"/>
        <v>43178.9</v>
      </c>
      <c r="K12" s="35">
        <f t="shared" si="3"/>
        <v>43178.884615384617</v>
      </c>
      <c r="L12" s="35">
        <f t="shared" si="4"/>
        <v>43179.285714285717</v>
      </c>
      <c r="M12" s="35">
        <f t="shared" si="5"/>
        <v>43179</v>
      </c>
      <c r="N12" s="35">
        <f t="shared" si="6"/>
        <v>43180.433333333334</v>
      </c>
      <c r="O12" s="35">
        <f t="shared" si="7"/>
        <v>43179.875</v>
      </c>
      <c r="P12" s="35">
        <f t="shared" si="8"/>
        <v>43179.5</v>
      </c>
      <c r="Q12" s="35">
        <f t="shared" si="9"/>
        <v>43179.25</v>
      </c>
      <c r="R12" s="35">
        <f t="shared" si="10"/>
        <v>43179</v>
      </c>
      <c r="S12" s="35">
        <f t="shared" si="11"/>
        <v>43179.125</v>
      </c>
      <c r="T12" s="35">
        <f t="shared" si="12"/>
        <v>43178.875</v>
      </c>
      <c r="U12" s="35">
        <f t="shared" si="13"/>
        <v>43179.75</v>
      </c>
      <c r="V12" s="35">
        <f t="shared" si="14"/>
        <v>43179.7</v>
      </c>
      <c r="W12" s="35">
        <f t="shared" si="15"/>
        <v>43179.5</v>
      </c>
      <c r="X12" s="35">
        <f t="shared" si="16"/>
        <v>43179.214285714283</v>
      </c>
      <c r="Y12" s="35">
        <f t="shared" si="17"/>
        <v>43178.928571428572</v>
      </c>
      <c r="Z12" s="35">
        <f t="shared" si="18"/>
        <v>43178.653846153844</v>
      </c>
      <c r="AA12" s="35">
        <f t="shared" si="19"/>
        <v>43177.75</v>
      </c>
      <c r="AB12" s="35">
        <f t="shared" si="20"/>
        <v>43177.269230769234</v>
      </c>
      <c r="AC12" s="35">
        <f t="shared" si="21"/>
        <v>43178.214285714283</v>
      </c>
      <c r="AD12" s="35">
        <f t="shared" si="22"/>
        <v>43177.5</v>
      </c>
    </row>
    <row r="13" spans="2:49">
      <c r="D13" s="3">
        <v>43167</v>
      </c>
      <c r="E13">
        <v>-4.5</v>
      </c>
      <c r="H13" s="35">
        <f t="shared" si="0"/>
        <v>43178.0625</v>
      </c>
      <c r="I13" s="35">
        <f t="shared" si="1"/>
        <v>43178.277777777781</v>
      </c>
      <c r="J13" s="35">
        <f t="shared" si="2"/>
        <v>43178.558823529413</v>
      </c>
      <c r="K13" s="35">
        <f t="shared" si="3"/>
        <v>43179.125</v>
      </c>
      <c r="L13" s="35">
        <f t="shared" si="4"/>
        <v>43178.875</v>
      </c>
      <c r="M13" s="35">
        <f t="shared" si="5"/>
        <v>43180.323529411762</v>
      </c>
      <c r="N13" s="35">
        <f t="shared" si="6"/>
        <v>43179.911764705881</v>
      </c>
      <c r="O13" s="35">
        <f t="shared" si="7"/>
        <v>43179.5</v>
      </c>
      <c r="P13" s="35">
        <f t="shared" si="8"/>
        <v>43179.23684210526</v>
      </c>
      <c r="Q13" s="35">
        <f t="shared" si="9"/>
        <v>43179.055555555555</v>
      </c>
      <c r="R13" s="35">
        <f t="shared" si="10"/>
        <v>43179.07894736842</v>
      </c>
      <c r="S13" s="35">
        <f t="shared" si="11"/>
        <v>43179</v>
      </c>
      <c r="T13" s="35">
        <f t="shared" si="12"/>
        <v>43178.92105263158</v>
      </c>
      <c r="U13" s="35">
        <f t="shared" si="13"/>
        <v>43179.852941176468</v>
      </c>
      <c r="V13" s="35">
        <f t="shared" si="14"/>
        <v>43179.676470588238</v>
      </c>
      <c r="W13" s="35">
        <f t="shared" si="15"/>
        <v>43179.5</v>
      </c>
      <c r="X13" s="35">
        <f t="shared" si="16"/>
        <v>43179.25</v>
      </c>
      <c r="Y13" s="35">
        <f t="shared" si="17"/>
        <v>43178.75</v>
      </c>
      <c r="Z13" s="35">
        <f t="shared" si="18"/>
        <v>43178.5</v>
      </c>
      <c r="AA13" s="35">
        <f t="shared" si="19"/>
        <v>43177.75</v>
      </c>
      <c r="AB13" s="35">
        <f t="shared" si="20"/>
        <v>43177.7</v>
      </c>
      <c r="AC13" s="35">
        <f t="shared" si="21"/>
        <v>43178.323529411762</v>
      </c>
    </row>
    <row r="14" spans="2:49">
      <c r="D14" s="3">
        <v>43168</v>
      </c>
      <c r="E14">
        <v>-4.25</v>
      </c>
      <c r="H14" s="35">
        <f t="shared" si="0"/>
        <v>43178.605263157893</v>
      </c>
      <c r="I14" s="35">
        <f t="shared" si="1"/>
        <v>43178.1</v>
      </c>
      <c r="J14" s="35">
        <f t="shared" si="2"/>
        <v>43178.9</v>
      </c>
      <c r="K14" s="35">
        <f t="shared" si="3"/>
        <v>43178.777777777781</v>
      </c>
      <c r="L14" s="35">
        <f t="shared" si="4"/>
        <v>43180.23684210526</v>
      </c>
      <c r="M14" s="35">
        <f t="shared" si="5"/>
        <v>43179.868421052633</v>
      </c>
      <c r="N14" s="35">
        <f t="shared" si="6"/>
        <v>43179.5</v>
      </c>
      <c r="O14" s="35">
        <f t="shared" si="7"/>
        <v>43179.199999999997</v>
      </c>
      <c r="P14" s="35">
        <f t="shared" si="8"/>
        <v>43179.023809523809</v>
      </c>
      <c r="Q14" s="35">
        <f t="shared" si="9"/>
        <v>43179.166666666664</v>
      </c>
      <c r="R14" s="35">
        <f t="shared" si="10"/>
        <v>43178.928571428572</v>
      </c>
      <c r="S14" s="35">
        <f t="shared" si="11"/>
        <v>43179.071428571428</v>
      </c>
      <c r="T14" s="35">
        <f t="shared" si="12"/>
        <v>43179.05</v>
      </c>
      <c r="U14" s="35">
        <f t="shared" si="13"/>
        <v>43179.815789473687</v>
      </c>
      <c r="V14" s="35">
        <f t="shared" si="14"/>
        <v>43179.722222222219</v>
      </c>
      <c r="W14" s="35">
        <f t="shared" si="15"/>
        <v>43179.5</v>
      </c>
      <c r="X14" s="35">
        <f t="shared" si="16"/>
        <v>43179.166666666664</v>
      </c>
      <c r="Y14" s="35">
        <f t="shared" si="17"/>
        <v>43178.676470588238</v>
      </c>
      <c r="Z14" s="35">
        <f t="shared" si="18"/>
        <v>43178.444444444445</v>
      </c>
      <c r="AA14" s="35">
        <f t="shared" si="19"/>
        <v>43178</v>
      </c>
      <c r="AB14" s="35">
        <f t="shared" si="20"/>
        <v>43177.833333333336</v>
      </c>
    </row>
    <row r="15" spans="2:49">
      <c r="D15" s="3">
        <v>43170</v>
      </c>
      <c r="E15">
        <v>-3.5</v>
      </c>
      <c r="H15" s="35">
        <f t="shared" si="0"/>
        <v>43178.357142857145</v>
      </c>
      <c r="I15" s="35">
        <f t="shared" si="1"/>
        <v>43178.586956521736</v>
      </c>
      <c r="J15" s="35">
        <f t="shared" si="2"/>
        <v>43178.63636363636</v>
      </c>
      <c r="K15" s="35">
        <f t="shared" si="3"/>
        <v>43180.166666666664</v>
      </c>
      <c r="L15" s="35">
        <f t="shared" si="4"/>
        <v>43179.833333333336</v>
      </c>
      <c r="M15" s="35">
        <f t="shared" si="5"/>
        <v>43179.5</v>
      </c>
      <c r="N15" s="35">
        <f t="shared" si="6"/>
        <v>43179.166666666664</v>
      </c>
      <c r="O15" s="35">
        <f t="shared" si="7"/>
        <v>43178.954545454544</v>
      </c>
      <c r="P15" s="35">
        <f t="shared" si="8"/>
        <v>43179.125</v>
      </c>
      <c r="Q15" s="35">
        <f t="shared" si="9"/>
        <v>43179.021739130432</v>
      </c>
      <c r="R15" s="35">
        <f t="shared" si="10"/>
        <v>43179</v>
      </c>
      <c r="S15" s="35">
        <f t="shared" si="11"/>
        <v>43179.227272727272</v>
      </c>
      <c r="T15" s="35">
        <f t="shared" si="12"/>
        <v>43178.954545454544</v>
      </c>
      <c r="U15" s="35">
        <f t="shared" si="13"/>
        <v>43179.9</v>
      </c>
      <c r="V15" s="35">
        <f t="shared" si="14"/>
        <v>43179.7</v>
      </c>
      <c r="W15" s="35">
        <f t="shared" si="15"/>
        <v>43179.5</v>
      </c>
      <c r="X15" s="35">
        <f t="shared" si="16"/>
        <v>43179.131578947367</v>
      </c>
      <c r="Y15" s="35">
        <f t="shared" si="17"/>
        <v>43178.642857142855</v>
      </c>
      <c r="Z15" s="35">
        <f t="shared" si="18"/>
        <v>43178.6</v>
      </c>
      <c r="AA15" s="35">
        <f t="shared" si="19"/>
        <v>43178.071428571428</v>
      </c>
    </row>
    <row r="16" spans="2:49">
      <c r="D16" s="3">
        <v>43171</v>
      </c>
      <c r="E16">
        <v>-3</v>
      </c>
      <c r="H16" s="35">
        <f t="shared" si="0"/>
        <v>43178.75</v>
      </c>
      <c r="I16" s="35">
        <f t="shared" si="1"/>
        <v>43178.42</v>
      </c>
      <c r="J16" s="35">
        <f t="shared" si="2"/>
        <v>43180.06</v>
      </c>
      <c r="K16" s="35">
        <f t="shared" si="3"/>
        <v>43179.804347826088</v>
      </c>
      <c r="L16" s="35">
        <f t="shared" si="4"/>
        <v>43179.5</v>
      </c>
      <c r="M16" s="35">
        <f t="shared" si="5"/>
        <v>43179.195652173912</v>
      </c>
      <c r="N16" s="35">
        <f t="shared" si="6"/>
        <v>43178.891304347824</v>
      </c>
      <c r="O16" s="35">
        <f t="shared" si="7"/>
        <v>43179.02</v>
      </c>
      <c r="P16" s="35">
        <f t="shared" si="8"/>
        <v>43178.961538461539</v>
      </c>
      <c r="Q16" s="35">
        <f t="shared" si="9"/>
        <v>43179.115384615383</v>
      </c>
      <c r="R16" s="35">
        <f t="shared" si="10"/>
        <v>43179.18</v>
      </c>
      <c r="S16" s="35">
        <f t="shared" si="11"/>
        <v>43179.125</v>
      </c>
      <c r="T16" s="35">
        <f t="shared" si="12"/>
        <v>43179.065217391304</v>
      </c>
      <c r="U16" s="35">
        <f t="shared" si="13"/>
        <v>43179.86363636364</v>
      </c>
      <c r="V16" s="35">
        <f t="shared" si="14"/>
        <v>43179.772727272728</v>
      </c>
      <c r="W16" s="35">
        <f t="shared" si="15"/>
        <v>43179.5</v>
      </c>
      <c r="X16" s="35">
        <f t="shared" si="16"/>
        <v>43179.108695652176</v>
      </c>
      <c r="Y16" s="35">
        <f t="shared" si="17"/>
        <v>43178.717391304344</v>
      </c>
      <c r="Z16" s="35">
        <f t="shared" si="18"/>
        <v>43178.630434782608</v>
      </c>
    </row>
    <row r="17" spans="2:25">
      <c r="B17" s="36"/>
      <c r="D17" s="3">
        <v>43173</v>
      </c>
      <c r="E17">
        <v>-2.25</v>
      </c>
      <c r="H17" s="35">
        <f t="shared" si="0"/>
        <v>43178.538461538461</v>
      </c>
      <c r="I17" s="35">
        <f t="shared" si="1"/>
        <v>43179.928571428572</v>
      </c>
      <c r="J17" s="35">
        <f t="shared" si="2"/>
        <v>43179.759259259263</v>
      </c>
      <c r="K17" s="35">
        <f t="shared" si="3"/>
        <v>43179.5</v>
      </c>
      <c r="L17" s="35">
        <f t="shared" si="4"/>
        <v>43179.22</v>
      </c>
      <c r="M17" s="35">
        <f t="shared" si="5"/>
        <v>43178.94</v>
      </c>
      <c r="N17" s="35">
        <f t="shared" si="6"/>
        <v>43178.923076923078</v>
      </c>
      <c r="O17" s="35">
        <f t="shared" si="7"/>
        <v>43178.833333333336</v>
      </c>
      <c r="P17" s="35">
        <f t="shared" si="8"/>
        <v>43179.051724137928</v>
      </c>
      <c r="Q17" s="35">
        <f t="shared" si="9"/>
        <v>43179.314814814818</v>
      </c>
      <c r="R17" s="35">
        <f t="shared" si="10"/>
        <v>43179.055555555555</v>
      </c>
      <c r="S17" s="35">
        <f t="shared" si="11"/>
        <v>43179.26</v>
      </c>
      <c r="T17" s="35">
        <f t="shared" si="12"/>
        <v>43178.98</v>
      </c>
      <c r="U17" s="35">
        <f t="shared" si="13"/>
        <v>43180</v>
      </c>
      <c r="V17" s="35">
        <f t="shared" si="14"/>
        <v>43179.804347826088</v>
      </c>
      <c r="W17" s="35">
        <f t="shared" si="15"/>
        <v>43179.5</v>
      </c>
      <c r="X17" s="35">
        <f t="shared" si="16"/>
        <v>43179.14</v>
      </c>
      <c r="Y17" s="35">
        <f t="shared" si="17"/>
        <v>43178.730769230766</v>
      </c>
    </row>
    <row r="18" spans="2:25">
      <c r="B18" s="36"/>
      <c r="D18" s="3">
        <v>43174</v>
      </c>
      <c r="E18">
        <v>-1.75</v>
      </c>
      <c r="H18" s="35">
        <f t="shared" si="0"/>
        <v>43179.982758620688</v>
      </c>
      <c r="I18" s="35">
        <f t="shared" si="1"/>
        <v>43179.7</v>
      </c>
      <c r="J18" s="35">
        <f t="shared" si="2"/>
        <v>43179.5</v>
      </c>
      <c r="K18" s="35">
        <f t="shared" si="3"/>
        <v>43179.240740740737</v>
      </c>
      <c r="L18" s="35">
        <f t="shared" si="4"/>
        <v>43178.981481481482</v>
      </c>
      <c r="M18" s="35">
        <f t="shared" si="5"/>
        <v>43179</v>
      </c>
      <c r="N18" s="35">
        <f t="shared" si="6"/>
        <v>43178.714285714283</v>
      </c>
      <c r="O18" s="35">
        <f t="shared" si="7"/>
        <v>43178.9</v>
      </c>
      <c r="P18" s="35">
        <f t="shared" si="8"/>
        <v>43179.26666666667</v>
      </c>
      <c r="Q18" s="35">
        <f t="shared" si="9"/>
        <v>43179.189655172413</v>
      </c>
      <c r="R18" s="35">
        <f t="shared" si="10"/>
        <v>43179.214285714283</v>
      </c>
      <c r="S18" s="35">
        <f t="shared" si="11"/>
        <v>43179.166666666664</v>
      </c>
      <c r="T18" s="35">
        <f t="shared" si="12"/>
        <v>43179.166666666664</v>
      </c>
      <c r="U18" s="35">
        <f t="shared" si="13"/>
        <v>43180.06</v>
      </c>
      <c r="V18" s="35">
        <f t="shared" si="14"/>
        <v>43179.833333333336</v>
      </c>
      <c r="W18" s="35">
        <f t="shared" si="15"/>
        <v>43179.5</v>
      </c>
      <c r="X18" s="35">
        <f t="shared" si="16"/>
        <v>43179.142857142855</v>
      </c>
    </row>
    <row r="19" spans="2:25">
      <c r="D19" s="5">
        <v>43177</v>
      </c>
      <c r="E19">
        <v>-1</v>
      </c>
      <c r="H19" s="35">
        <f t="shared" si="0"/>
        <v>43179.725806451614</v>
      </c>
      <c r="I19" s="35">
        <f t="shared" si="1"/>
        <v>43179.5</v>
      </c>
      <c r="J19" s="35">
        <f t="shared" si="2"/>
        <v>43179.274193548386</v>
      </c>
      <c r="K19" s="35">
        <f t="shared" si="3"/>
        <v>43179.017241379312</v>
      </c>
      <c r="L19" s="35">
        <f t="shared" si="4"/>
        <v>43179.066666666666</v>
      </c>
      <c r="M19" s="35">
        <f t="shared" si="5"/>
        <v>43178.8</v>
      </c>
      <c r="N19" s="35">
        <f t="shared" si="6"/>
        <v>43178.758064516129</v>
      </c>
      <c r="O19" s="35">
        <f t="shared" si="7"/>
        <v>43179.112903225803</v>
      </c>
      <c r="P19" s="35">
        <f t="shared" si="8"/>
        <v>43179.125</v>
      </c>
      <c r="Q19" s="35">
        <f t="shared" si="9"/>
        <v>43179.366666666669</v>
      </c>
      <c r="R19" s="35">
        <f t="shared" si="10"/>
        <v>43179.1</v>
      </c>
      <c r="S19" s="35">
        <f t="shared" si="11"/>
        <v>43179.396551724138</v>
      </c>
      <c r="T19" s="35">
        <f t="shared" si="12"/>
        <v>43179.25</v>
      </c>
      <c r="U19" s="35">
        <f t="shared" si="13"/>
        <v>43180.120689655174</v>
      </c>
      <c r="V19" s="35">
        <f t="shared" si="14"/>
        <v>43179.810344827587</v>
      </c>
      <c r="W19" s="35">
        <f t="shared" si="15"/>
        <v>43179.5</v>
      </c>
    </row>
    <row r="20" spans="2:25">
      <c r="D20" s="3">
        <v>43178</v>
      </c>
      <c r="E20">
        <v>-0.5</v>
      </c>
      <c r="H20" s="35">
        <f t="shared" si="0"/>
        <v>43179.5</v>
      </c>
      <c r="I20" s="35">
        <f t="shared" si="1"/>
        <v>43179.323529411762</v>
      </c>
      <c r="J20" s="35">
        <f t="shared" si="2"/>
        <v>43179.07575757576</v>
      </c>
      <c r="K20" s="35">
        <f t="shared" si="3"/>
        <v>43179.125</v>
      </c>
      <c r="L20" s="35">
        <f t="shared" si="4"/>
        <v>43178.875</v>
      </c>
      <c r="M20" s="35">
        <f t="shared" si="5"/>
        <v>43178.86363636364</v>
      </c>
      <c r="N20" s="35">
        <f t="shared" si="6"/>
        <v>43178.96875</v>
      </c>
      <c r="O20" s="35">
        <f t="shared" si="7"/>
        <v>43178.954545454544</v>
      </c>
      <c r="P20" s="35">
        <f t="shared" si="8"/>
        <v>43179.318181818184</v>
      </c>
      <c r="Q20" s="35">
        <f t="shared" si="9"/>
        <v>43179.25</v>
      </c>
      <c r="R20" s="35">
        <f t="shared" si="10"/>
        <v>43179.375</v>
      </c>
      <c r="S20" s="35">
        <f t="shared" si="11"/>
        <v>43179.5</v>
      </c>
      <c r="T20" s="35">
        <f t="shared" si="12"/>
        <v>43179.3125</v>
      </c>
      <c r="U20" s="35">
        <f t="shared" si="13"/>
        <v>43180.080645161288</v>
      </c>
      <c r="V20" s="35">
        <f t="shared" si="14"/>
        <v>43179.8125</v>
      </c>
    </row>
    <row r="21" spans="2:25">
      <c r="B21" s="64"/>
      <c r="D21" s="8">
        <v>43179</v>
      </c>
      <c r="E21">
        <v>0</v>
      </c>
      <c r="H21" s="35">
        <f t="shared" si="0"/>
        <v>43179.3</v>
      </c>
      <c r="I21" s="35">
        <f t="shared" si="1"/>
        <v>43179.166666666664</v>
      </c>
      <c r="J21" s="35">
        <f t="shared" si="2"/>
        <v>43179.222222222219</v>
      </c>
      <c r="K21" s="35">
        <f t="shared" si="3"/>
        <v>43178.941176470587</v>
      </c>
      <c r="L21" s="35">
        <f t="shared" si="4"/>
        <v>43178.957142857143</v>
      </c>
      <c r="M21" s="35">
        <f t="shared" si="5"/>
        <v>43179.088235294119</v>
      </c>
      <c r="N21" s="35">
        <f t="shared" si="6"/>
        <v>43178.794117647056</v>
      </c>
      <c r="O21" s="35">
        <f t="shared" si="7"/>
        <v>43179.147058823532</v>
      </c>
      <c r="P21" s="35">
        <f t="shared" si="8"/>
        <v>43179.185714285712</v>
      </c>
      <c r="Q21" s="35">
        <f t="shared" si="9"/>
        <v>43179.558823529413</v>
      </c>
      <c r="R21" s="35">
        <f t="shared" si="10"/>
        <v>43179.5</v>
      </c>
      <c r="S21" s="35">
        <f t="shared" si="11"/>
        <v>43179.588235294119</v>
      </c>
      <c r="T21" s="35">
        <f t="shared" si="12"/>
        <v>43179.23529411765</v>
      </c>
      <c r="U21" s="35">
        <f t="shared" si="13"/>
        <v>43180.088235294119</v>
      </c>
    </row>
    <row r="22" spans="2:25">
      <c r="D22" s="3">
        <v>43180</v>
      </c>
      <c r="E22">
        <v>0.5</v>
      </c>
      <c r="H22" s="35">
        <f t="shared" si="0"/>
        <v>43179.12162162162</v>
      </c>
      <c r="I22" s="35">
        <f t="shared" si="1"/>
        <v>43179.371794871797</v>
      </c>
      <c r="J22" s="35">
        <f t="shared" si="2"/>
        <v>43179.052631578947</v>
      </c>
      <c r="K22" s="35">
        <f t="shared" si="3"/>
        <v>43179.04054054054</v>
      </c>
      <c r="L22" s="35">
        <f t="shared" si="4"/>
        <v>43179.194444444445</v>
      </c>
      <c r="M22" s="35">
        <f t="shared" si="5"/>
        <v>43178.916666666664</v>
      </c>
      <c r="N22" s="35">
        <f t="shared" si="6"/>
        <v>43178.985714285714</v>
      </c>
      <c r="O22" s="35">
        <f t="shared" si="7"/>
        <v>43179</v>
      </c>
      <c r="P22" s="35">
        <f t="shared" si="8"/>
        <v>43179.527027027027</v>
      </c>
      <c r="Q22" s="35">
        <f t="shared" si="9"/>
        <v>43179.7</v>
      </c>
      <c r="R22" s="35">
        <f t="shared" si="10"/>
        <v>43179.608108108107</v>
      </c>
      <c r="S22" s="35">
        <f t="shared" si="11"/>
        <v>43179.5</v>
      </c>
      <c r="T22" s="35">
        <f t="shared" si="12"/>
        <v>43179.229729729726</v>
      </c>
    </row>
    <row r="23" spans="2:25">
      <c r="D23" s="8">
        <v>43181</v>
      </c>
      <c r="E23">
        <v>1</v>
      </c>
      <c r="H23" s="35">
        <f t="shared" si="0"/>
        <v>43179.3</v>
      </c>
      <c r="I23" s="35">
        <f t="shared" si="1"/>
        <v>43179.231707317071</v>
      </c>
      <c r="J23" s="35">
        <f t="shared" si="2"/>
        <v>43179.182926829271</v>
      </c>
      <c r="K23" s="35">
        <f t="shared" si="3"/>
        <v>43179.289473684214</v>
      </c>
      <c r="L23" s="35">
        <f t="shared" si="4"/>
        <v>43179.026315789473</v>
      </c>
      <c r="M23" s="35">
        <f t="shared" si="5"/>
        <v>43179.12162162162</v>
      </c>
      <c r="N23" s="35">
        <f t="shared" si="6"/>
        <v>43178.824324324327</v>
      </c>
      <c r="O23" s="35">
        <f t="shared" si="7"/>
        <v>43179.34210526316</v>
      </c>
      <c r="P23" s="35">
        <f t="shared" si="8"/>
        <v>43179.684210526313</v>
      </c>
      <c r="Q23" s="35">
        <f t="shared" si="9"/>
        <v>43179.833333333336</v>
      </c>
      <c r="R23" s="35">
        <f t="shared" si="10"/>
        <v>43179.5</v>
      </c>
      <c r="S23" s="35">
        <f t="shared" si="11"/>
        <v>43179.5</v>
      </c>
    </row>
    <row r="24" spans="2:25">
      <c r="D24" s="8">
        <v>43183</v>
      </c>
      <c r="E24">
        <v>1.75</v>
      </c>
      <c r="H24" s="35">
        <f t="shared" si="0"/>
        <v>43179.142857142855</v>
      </c>
      <c r="I24" s="35">
        <f t="shared" si="1"/>
        <v>43179.409090909088</v>
      </c>
      <c r="J24" s="35">
        <f t="shared" si="2"/>
        <v>43179.452380952382</v>
      </c>
      <c r="K24" s="35">
        <f t="shared" si="3"/>
        <v>43179.125</v>
      </c>
      <c r="L24" s="35">
        <f t="shared" si="4"/>
        <v>43179.243589743586</v>
      </c>
      <c r="M24" s="35">
        <f t="shared" si="5"/>
        <v>43178.961538461539</v>
      </c>
      <c r="N24" s="35">
        <f t="shared" si="6"/>
        <v>43179.166666666664</v>
      </c>
      <c r="O24" s="35">
        <f t="shared" si="7"/>
        <v>43179.5</v>
      </c>
      <c r="P24" s="35">
        <f t="shared" si="8"/>
        <v>43179.833333333336</v>
      </c>
      <c r="Q24" s="35">
        <f t="shared" si="9"/>
        <v>43179.719512195123</v>
      </c>
      <c r="R24" s="35">
        <f t="shared" si="10"/>
        <v>43179.5</v>
      </c>
    </row>
    <row r="25" spans="2:25">
      <c r="D25" s="12">
        <v>43184</v>
      </c>
      <c r="E25">
        <v>2.25</v>
      </c>
      <c r="H25" s="35">
        <f t="shared" si="0"/>
        <v>43179.3</v>
      </c>
      <c r="I25" s="35">
        <f t="shared" si="1"/>
        <v>43179.7</v>
      </c>
      <c r="J25" s="35">
        <f t="shared" si="2"/>
        <v>43179.295454545456</v>
      </c>
      <c r="K25" s="35">
        <f t="shared" si="3"/>
        <v>43179.353658536587</v>
      </c>
      <c r="L25" s="35">
        <f t="shared" si="4"/>
        <v>43179.085365853658</v>
      </c>
      <c r="M25" s="35">
        <f t="shared" si="5"/>
        <v>43179.329268292684</v>
      </c>
      <c r="N25" s="35">
        <f t="shared" si="6"/>
        <v>43179.324999999997</v>
      </c>
      <c r="O25" s="35">
        <f t="shared" si="7"/>
        <v>43179.639534883718</v>
      </c>
      <c r="P25" s="35">
        <f t="shared" si="8"/>
        <v>43179.704545454544</v>
      </c>
      <c r="Q25" s="35">
        <f t="shared" si="9"/>
        <v>43179.727272727272</v>
      </c>
    </row>
    <row r="26" spans="2:25">
      <c r="D26" s="12">
        <v>43186</v>
      </c>
      <c r="E26">
        <v>3</v>
      </c>
      <c r="H26" s="35">
        <f t="shared" si="0"/>
        <v>43179.586956521736</v>
      </c>
      <c r="I26" s="35">
        <f t="shared" si="1"/>
        <v>43179.563829787236</v>
      </c>
      <c r="J26" s="35">
        <f t="shared" si="2"/>
        <v>43179.544444444444</v>
      </c>
      <c r="K26" s="35">
        <f t="shared" si="3"/>
        <v>43179.197674418603</v>
      </c>
      <c r="L26" s="35">
        <f t="shared" si="4"/>
        <v>43179.476744186046</v>
      </c>
      <c r="M26" s="35">
        <f t="shared" si="5"/>
        <v>43179.5</v>
      </c>
      <c r="N26" s="35">
        <f t="shared" si="6"/>
        <v>43179.454545454544</v>
      </c>
      <c r="O26" s="35">
        <f t="shared" si="7"/>
        <v>43179.5</v>
      </c>
      <c r="P26" s="35">
        <f t="shared" si="8"/>
        <v>43179.712765957447</v>
      </c>
    </row>
    <row r="27" spans="2:25">
      <c r="D27" s="8">
        <v>43187</v>
      </c>
      <c r="E27">
        <v>3.25</v>
      </c>
      <c r="H27" s="35">
        <f t="shared" si="0"/>
        <v>43179.4375</v>
      </c>
      <c r="I27" s="35">
        <f t="shared" si="1"/>
        <v>43179.833333333336</v>
      </c>
      <c r="J27" s="35">
        <f t="shared" si="2"/>
        <v>43179.393617021276</v>
      </c>
      <c r="K27" s="35">
        <f t="shared" si="3"/>
        <v>43179.611111111109</v>
      </c>
      <c r="L27" s="35">
        <f t="shared" si="4"/>
        <v>43179.659090909088</v>
      </c>
      <c r="M27" s="35">
        <f t="shared" si="5"/>
        <v>43179.65217391304</v>
      </c>
      <c r="N27" s="35">
        <f t="shared" si="6"/>
        <v>43179.304347826088</v>
      </c>
      <c r="O27" s="35">
        <f t="shared" si="7"/>
        <v>43179.5</v>
      </c>
    </row>
    <row r="28" spans="2:25">
      <c r="D28" s="12">
        <v>43188</v>
      </c>
      <c r="E28">
        <v>3.75</v>
      </c>
      <c r="H28" s="35">
        <f t="shared" si="0"/>
        <v>43179.704081632655</v>
      </c>
      <c r="I28" s="35">
        <f t="shared" si="1"/>
        <v>43179.7</v>
      </c>
      <c r="J28" s="35">
        <f t="shared" si="2"/>
        <v>43179.84693877551</v>
      </c>
      <c r="K28" s="35">
        <f t="shared" si="3"/>
        <v>43179.804347826088</v>
      </c>
      <c r="L28" s="35">
        <f t="shared" si="4"/>
        <v>43179.833333333336</v>
      </c>
      <c r="M28" s="35">
        <f t="shared" si="5"/>
        <v>43179.5</v>
      </c>
      <c r="N28" s="35">
        <f t="shared" si="6"/>
        <v>43179.295918367345</v>
      </c>
    </row>
    <row r="29" spans="2:25">
      <c r="D29" s="8">
        <v>43189</v>
      </c>
      <c r="E29">
        <v>4</v>
      </c>
      <c r="H29" s="35">
        <f t="shared" si="0"/>
        <v>43179.558823529413</v>
      </c>
      <c r="I29" s="35">
        <f t="shared" si="1"/>
        <v>43180.192307692305</v>
      </c>
      <c r="J29" s="35">
        <f t="shared" si="2"/>
        <v>43180.06</v>
      </c>
      <c r="K29" s="35">
        <f t="shared" si="3"/>
        <v>43180</v>
      </c>
      <c r="L29" s="35">
        <f t="shared" si="4"/>
        <v>43179.68</v>
      </c>
      <c r="M29" s="35">
        <f t="shared" si="5"/>
        <v>43179.5</v>
      </c>
    </row>
    <row r="30" spans="2:25">
      <c r="D30" s="12">
        <v>43190</v>
      </c>
      <c r="E30">
        <v>4.5</v>
      </c>
      <c r="H30" s="35">
        <f t="shared" si="0"/>
        <v>43180.047169811318</v>
      </c>
      <c r="I30" s="35">
        <f t="shared" si="1"/>
        <v>43180.42452830189</v>
      </c>
      <c r="J30" s="35">
        <f t="shared" si="2"/>
        <v>43180.296296296299</v>
      </c>
      <c r="K30" s="35">
        <f t="shared" si="3"/>
        <v>43179.846153846156</v>
      </c>
      <c r="L30" s="35">
        <f t="shared" si="4"/>
        <v>43179.688679245286</v>
      </c>
    </row>
    <row r="31" spans="2:25">
      <c r="D31" s="12">
        <v>43192</v>
      </c>
      <c r="E31">
        <v>5</v>
      </c>
      <c r="H31" s="35">
        <f t="shared" si="0"/>
        <v>43180.277777777781</v>
      </c>
      <c r="I31" s="35">
        <f t="shared" si="1"/>
        <v>43180.710526315786</v>
      </c>
      <c r="J31" s="35">
        <f t="shared" si="2"/>
        <v>43180.142857142855</v>
      </c>
      <c r="K31" s="35">
        <f t="shared" si="3"/>
        <v>43179.86363636364</v>
      </c>
    </row>
    <row r="32" spans="2:25">
      <c r="D32" s="8">
        <v>43193</v>
      </c>
      <c r="E32">
        <v>5.25</v>
      </c>
      <c r="H32" s="35">
        <f t="shared" si="0"/>
        <v>43180.551724137928</v>
      </c>
      <c r="I32" s="35">
        <f t="shared" si="1"/>
        <v>43180.567796610172</v>
      </c>
      <c r="J32" s="35">
        <f t="shared" si="2"/>
        <v>43180.177966101692</v>
      </c>
    </row>
    <row r="33" spans="4:37">
      <c r="D33" s="8">
        <v>43196</v>
      </c>
      <c r="E33">
        <v>6.25</v>
      </c>
      <c r="H33" s="35">
        <f t="shared" si="0"/>
        <v>43180.4</v>
      </c>
      <c r="I33" s="35">
        <f t="shared" si="1"/>
        <v>43180.629032258068</v>
      </c>
    </row>
    <row r="34" spans="4:37">
      <c r="D34" s="8">
        <v>43197</v>
      </c>
      <c r="E34">
        <v>6.75</v>
      </c>
      <c r="H34" s="35">
        <f t="shared" si="0"/>
        <v>43180.452380952382</v>
      </c>
    </row>
    <row r="35" spans="4:37" ht="15.75" thickBot="1">
      <c r="D35" s="21">
        <v>43199</v>
      </c>
      <c r="E35">
        <v>7.5</v>
      </c>
    </row>
    <row r="36" spans="4:37" ht="15.75" thickTop="1"/>
    <row r="38" spans="4:37">
      <c r="F38" t="s">
        <v>14</v>
      </c>
      <c r="H38" s="35">
        <f>AVERAGE(H6:H34)</f>
        <v>43179.217338819086</v>
      </c>
      <c r="I38" s="35">
        <f>AVERAGE(H6:H34,I6:I33)</f>
        <v>43178.8092070446</v>
      </c>
      <c r="J38" s="35">
        <f>AVERAGE(H6:H34,I6:I33,J6:J32)</f>
        <v>43178.811806946265</v>
      </c>
      <c r="K38" s="35">
        <f>AVERAGE(H6:H34,I6:I33,J6:J32,K6:K31)</f>
        <v>43178.838415920487</v>
      </c>
      <c r="L38" s="35">
        <f>AVERAGE(H6:H34,I6:I33,J6:J32,K6:K31,L6:L30)</f>
        <v>43178.881833524363</v>
      </c>
      <c r="M38" s="35">
        <f>AVERAGE(H6:H34,I6:I33,J6:J32,K6:K31,L6:L30,M6:M29)</f>
        <v>43178.94564949083</v>
      </c>
      <c r="N38" s="35">
        <f>AVERAGE(H6:H34,I6:I33,J6:J32,K6:K31,L6:L30,M6:M29,N6:N28)</f>
        <v>43179.068759588241</v>
      </c>
      <c r="O38" s="35">
        <f>AVERAGE(H6:H34,I6:I33,J6:J32,K6:K31,L6:L30,M6:M29,N6:N28,O6:O27)</f>
        <v>43179.133847842211</v>
      </c>
      <c r="P38" s="35">
        <f>AVERAGE(H6:H34,I6:I33,J6:J32,K6:K31,L6:L30,M6:M29,N6:N28,O6:O27,P6:P26)</f>
        <v>43179.155654295777</v>
      </c>
      <c r="Q38" s="35">
        <f>AVERAGE(H6:H34,I6:I33,J6:J32,K6:K31,L6:L30,M6:M29,N6:N28,O6:O27,P6:P26,Q6:Q25)</f>
        <v>43179.166632548127</v>
      </c>
      <c r="R38" s="35">
        <f>AVERAGE(H6:H34,I6:I33,J6:J32,K6:K31,L6:L30,M6:M29,N6:N28,O6:O27,P6:P26,Q6:Q25,R6:R24)</f>
        <v>43179.178711091598</v>
      </c>
      <c r="S38" s="35">
        <f>AVERAGE(H6:H34,I6:I33,J6:J32,K6:K31,L6:L30,M6:M29,N6:N28,O6:O27,P6:P26,Q6:Q25,R6:R24,S6:S23)</f>
        <v>43179.188064499496</v>
      </c>
      <c r="T38" s="35">
        <f>AVERAGE(H6:H34,I6:I33,J6:J32,K6:K31,L6:L30,M6:M29,N6:N28,O6:O27,P6:P26,Q6:Q25,R6:R24,S6:S23,T6:T22)</f>
        <v>43179.194967916294</v>
      </c>
      <c r="U38" s="35">
        <f>AVERAGE(H6:H34,I6:I33,J6:J32,K6:K31,L6:L30,M6:M29,N6:N28,O6:O27,P6:P26,Q6:Q25,R6:R24,S6:S23,T6:T22,U6:U21)</f>
        <v>43179.225914312476</v>
      </c>
      <c r="V38" s="35">
        <f>AVERAGE(H6:H34,I6:I33,J6:J32,K6:K31,L6:L30,M6:M29,N6:N28,O6:O27,P6:P26,Q6:Q25,R6:R24,S6:S23,T6:T22,U6:U21,V6:V20)</f>
        <v>43179.246484338939</v>
      </c>
      <c r="W38" s="35">
        <f>AVERAGE(H6:H34,I6:I33,J6:J32,K6:K31,L6:L30,M6:M29,N6:N28,O6:O27,P6:P26,Q6:Q25,R6:R24,S6:S23,T6:T22,U6:U21,V6:V20,W6:W19)</f>
        <v>43179.256801836775</v>
      </c>
      <c r="X38" s="35">
        <f>AVERAGE(H6:H34,I6:I33,J6:J32,K6:K31,L6:L30,M6:M29,N6:N28,O6:O27,P6:P26,Q6:Q25,R6:R24,S6:S23,T6:T22,U6:U21,V6:V20,W6:W19,X6:X18)</f>
        <v>43179.256155636773</v>
      </c>
      <c r="Y38" s="35">
        <f>AVERAGE(H6:H34,I6:I33,J6:J32,K6:K31,L6:L30,M6:M29,N6:N28,O6:O27,P6:P26,Q6:Q25,R6:R24,S6:S23,T6:T22,U6:U21,V6:V20,W6:W19,X6:X18,Y6:Y17)</f>
        <v>43179.242406957943</v>
      </c>
      <c r="Z38" s="35">
        <f>AVERAGE(H6:H34,I6:I33,J6:J32,K6:K31,L6:L30,M6:M29,N6:N28,O6:O27,P6:P26,Q6:Q25,R6:R24,S6:S23,T6:T22,U6:U21,V6:V20,W6:W19,X6:X18,Y6:Y17,Z6:Z16)</f>
        <v>43179.232668458091</v>
      </c>
      <c r="AA38" s="35">
        <f>AVERAGE(H6:H34,I6:I33,J6:J32,K6:K31,L6:L30,M6:M29,N6:N28,O6:O27,P6:P26,Q6:Q25,R6:R24,S6:S23,T6:T22,U6:U21,V6:V20,W6:W19,X6:X18,Y6:Y17,Z6:Z16,AA6:AA15)</f>
        <v>43179.203234401721</v>
      </c>
      <c r="AB38" s="35">
        <f>AVERAGE(H6:H34,I6:I33,J6:J32,K6:K31,L6:L30,M6:M29,N6:N28,O6:O27,P6:P26,Q6:Q25,R6:R24,S6:S23,T6:T22,U6:U21,V6:V20,W6:W19,X6:X18,Y6:Y17,Z6:Z16,AA6:AA15,AB6:AB14)</f>
        <v>43179.162232199094</v>
      </c>
      <c r="AC38" s="35">
        <f>AVERAGE(H6:H34,I6:I33,J6:J32,K6:K31,L6:L30,M6:M29,N6:N28,O6:O27,P6:P26,Q6:Q25,R6:R24,S6:S23,T6:T22,U6:U21,V6:V20,W6:W19,X6:X18,Y6:Y17,Z6:Z16,AA6:AA15,AB6:AB14,AC6:AC13)</f>
        <v>43179.153602166109</v>
      </c>
      <c r="AD38" s="35">
        <f>AVERAGE(H6:H34,I6:I33,J6:J32,K6:K31,L6:L30,M6:M29,N6:N28,O6:O27,P6:P26,Q6:Q25,R6:R24,S6:S23,T6:T22,U6:U21,V6:V20,W6:W19,X6:X18,Y6:Y17,Z6:Z16,AA6:AA15,AB6:AB14,AC6:AC13,AD6:AD12)</f>
        <v>43179.109338361362</v>
      </c>
      <c r="AE38" s="35">
        <f>AVERAGE(H6:H34,I6:I33,J6:J32,K6:K31,L6:L30,M6:M29,N6:N28,O6:O27,P6:P26,Q6:Q25,R6:R24,S6:S23,T6:T22,U6:U21,V6:V20,W6:W19,X6:X18,Y6:Y17,Z6:Z16,AA6:AA15,AB6:AB14,AC6:AC13,AD6:AD12,AE6:AE11)</f>
        <v>43179.095135004987</v>
      </c>
      <c r="AF38" s="35">
        <f>AVERAGE(H6:H34,I6:I33,J6:J32,K6:K31,L6:L30,M6:M29,N6:N28,O6:O27,P6:P26,Q6:Q25,R6:R24,S6:S23,T6:T22,U6:U21,V6:V20,W6:W19,X6:X18,Y6:Y17,Z6:Z16,AA6:AA15,AB6:AB14,AC6:AC13,AD6:AD12,AE6:AE11,AF6:AF10)</f>
        <v>43179.043595601564</v>
      </c>
      <c r="AG38" s="35">
        <f>AVERAGE(H6:H34,I6:I33,J6:J32,K6:K31,L6:L30,M6:M29,N6:N28,O6:O27,P6:P26,Q6:Q25,R6:R24,S6:S23,T6:T22,U6:U21,V6:V20,W6:W19,X6:X18,Y6:Y17,Z6:Z16,AA6:AA15,AB6:AB14,AC6:AC13,AD6:AD12,AE6:AE11,AF6:AF10,AG6:AG9)</f>
        <v>43179.019213091793</v>
      </c>
      <c r="AH38" s="35">
        <f>AVERAGE(H6:H34,I6:I33,J6:J32,K6:K31,L6:L30,M6:M29,N6:N28,O6:O27,P6:P26,Q6:Q25,R6:R24,S6:S23,T6:T22,U6:U21,V6:V20,W6:W19,X6:X18,Y6:Y17,Z6:Z16,AA6:AA15,AB6:AB14,AC6:AC13,AD6:AD12,AE6:AE11,AF6:AF10,AG6:AG9,AH6:AH8)</f>
        <v>43179.018500963837</v>
      </c>
      <c r="AI38" s="35">
        <f>AVERAGE(H6:H34,I6:I33,J6:J32,K6:K31,L6:L30,M6:M29,N6:N28,O6:O27,P6:P26,Q6:Q25,R6:R24,S6:S23,T6:T22,U6:U21,V6:V20,W6:W19,X6:X18,Y6:Y17,Z6:Z16,AA6:AA15,AB6:AB14,AC6:AC13,AD6:AD12,AE6:AE11,AF6:AF10,AG6:AG9,AH6:AH8,AI6:AI7)</f>
        <v>43179.03569681193</v>
      </c>
      <c r="AJ38" s="69">
        <f>AVERAGE(H6:H34,I6:I33,J6:J32,K6:K31,L6:L30,M6:M29,N6:N28,O6:O27,P6:P26,Q6:Q25,R6:R24,S6:S23,T6:T22,U6:U21,V6:V20,W6:W19,X6:X18,Y6:Y17,Z6:Z16,AA6:AA15,AB6:AB14,AC6:AC13,AD6:AD12,AE6:AE11,AF6:AF10,AG6:AG9,AH6:AH8,AI6:AI7,AJ6)</f>
        <v>43179.03676417558</v>
      </c>
      <c r="AK38" s="35"/>
    </row>
    <row r="39" spans="4:37">
      <c r="F39" t="s">
        <v>16</v>
      </c>
      <c r="H39">
        <f>STDEV(H6:H34)</f>
        <v>2.9508591064715053</v>
      </c>
      <c r="I39">
        <f>STDEV(H6:H34,I6:I33)</f>
        <v>2.6757688790579635</v>
      </c>
      <c r="J39">
        <f>STDEV(H6:H34,I6:I33,J6:J32)</f>
        <v>2.3249197037381228</v>
      </c>
      <c r="K39">
        <f>STDEV(H6:H34,I6:I33,J6:J32,K6:K31)</f>
        <v>2.1062544522433058</v>
      </c>
      <c r="L39">
        <f>STDEV(H6:H34,I6:I33,J6:J32,K6:K31,L6:L30)</f>
        <v>1.9498987487475872</v>
      </c>
      <c r="M39">
        <f>STDEV(H6:H34,I6:I33,J6:J32,K6:K31,L6:L30,M6:M29)</f>
        <v>1.8351888498881495</v>
      </c>
      <c r="N39">
        <f>STDEV(H6:H34,I6:I33,J6:J32,K6:K31,L6:L30,M6:M29,N6:N28)</f>
        <v>1.8645605608925193</v>
      </c>
      <c r="O39">
        <f>STDEV(H6:H34,I6:I33,J6:J32,K6:K31,L6:L30,M6:M29,N6:N28,O6:O27)</f>
        <v>1.8268254221708458</v>
      </c>
      <c r="P39">
        <f>STDEV(H6:H34,I6:I33,J6:J32,K6:K31,L6:L30,M6:M29,N6:N28,O6:O27,P6:P26)</f>
        <v>1.7447146999104977</v>
      </c>
      <c r="Q39">
        <f>STDEV(H6:H34,I6:I33,J6:J32,K6:K31,L6:L30,M6:M29,N6:N28,O6:O27,P6:P26,Q6:Q25)</f>
        <v>1.6799665045126906</v>
      </c>
      <c r="R39">
        <f>STDEV(H6:H34,I6:I33,J6:J32,K6:K31,L6:L30,M6:M29,N6:N28,O6:O27,P6:P26,Q6:Q25,R6:R24)</f>
        <v>1.6221710637012354</v>
      </c>
      <c r="S39">
        <f>STDEV(H6:H34,I6:I33,J6:J32,K6:K31,L6:L30,M6:M29,N6:N28,O6:O27,P6:P26,Q6:Q25,R6:R24,S6:S23)</f>
        <v>1.5749576877549596</v>
      </c>
      <c r="T39">
        <f>STDEV(H6:H34,I6:I33,J6:J32,K6:K31,L6:L30,M6:M29,N6:N28,O6:O27,P6:P26,Q6:Q25,R6:R24,S6:S23,T6:T22)</f>
        <v>1.5366804642670799</v>
      </c>
      <c r="U39">
        <f>STDEV(H6:H34,I6:I33,J6:J32,K6:K31,L6:L30,M6:M29,N6:N28,O6:O27,P6:P26,Q6:Q25,R6:R24,S6:S23,T6:T22,U6:U21)</f>
        <v>1.5038354870220241</v>
      </c>
      <c r="V39">
        <f>STDEV(H6:H34,I6:I33,J6:J32,K6:K31,L6:L30,M6:M29,N6:N28,O6:O27,P6:P26,Q6:Q25,R6:R24,S6:S23,T6:T22,U6:U21,V6:V20)</f>
        <v>1.4723859952994791</v>
      </c>
      <c r="W39">
        <f>STDEV(H6:H34,I6:I33,J6:J32,K6:K31,L6:L30,M6:M29,N6:N28,O6:O27,P6:P26,Q6:Q25,R6:R24,S6:S23,T6:T22,U6:U21,V6:V20,W6:W19)</f>
        <v>1.4428965587721683</v>
      </c>
      <c r="X39">
        <f>STDEV(H6:H34,I6:I33,J6:J32,K6:K31,L6:L30,M6:M29,N6:N28,O6:O27,P6:P26,Q6:Q25,R6:R24,S6:S23,T6:T22,U6:U21,V6:V20,W6:W19,X6:X18)</f>
        <v>1.4164533352337687</v>
      </c>
      <c r="Y39">
        <f>STDEV(H6:H34,I6:I33,J6:J32,K6:K31,L6:L30,M6:M29,N6:N28,O6:O27,P6:P26,Q6:Q25,R6:R24,S6:S23,T6:T22,U6:U21,V6:V20,W6:W19,X6:X18,Y6:Y17)</f>
        <v>1.395398674116642</v>
      </c>
      <c r="Z39">
        <f>STDEV(H6:H34,I6:I33,J6:J32,K6:K31,L6:L30,M6:M29,N6:N28,O6:O27,P6:P26,Q6:Q25,R6:R24,S6:S23,T6:T22,U6:U21,V6:V20,W6:W19,X6:X18,Y6:Y17,Z6:Z16)</f>
        <v>1.3781144441308342</v>
      </c>
      <c r="AA39">
        <f>STDEV(H6:H34,I6:I33,J6:J32,K6:K31,L6:L30,M6:M29,N6:N28,O6:O27,P6:P26,Q6:Q25,R6:R24,S6:S23,T6:T22,U6:U21,V6:V20,W6:W19,X6:X18,Y6:Y17,Z6:Z16,AA6:AA15)</f>
        <v>1.3731861617429737</v>
      </c>
      <c r="AB39">
        <f>STDEV(H6:H34,I6:I33,J6:J32,K6:K31,L6:L30,M6:M29,N6:N28,O6:O27,P6:P26,Q6:Q25,R6:R24,S6:S23,T6:T22,U6:U21,V6:V20,W6:W19,X6:X18,Y6:Y17,Z6:Z16,AA6:AA15,AB6:AB14)</f>
        <v>1.3943344506638669</v>
      </c>
      <c r="AC39">
        <f>STDEV(H6:H34,I6:I33,J6:J32,K6:K31,L6:L30,M6:M29,N6:N28,O6:O27,P6:P26,Q6:Q25,R6:R24,S6:S23,T6:T22,U6:U21,V6:V20,W6:W19,X6:X18,Y6:Y17,Z6:Z16,AA6:AA15,AB6:AB14,AC6:AC13)</f>
        <v>1.3896281538669906</v>
      </c>
      <c r="AD39">
        <f>STDEV(H6:H34,I6:I33,J6:J32,K6:K31,L6:L30,M6:M29,N6:N28,O6:O27,P6:P26,Q6:Q25,R6:R24,S6:S23,T6:T22,U6:U21,V6:V20,W6:W19,X6:X18,Y6:Y17,Z6:Z16,AA6:AA15,AB6:AB14,AC6:AC13,AD6:AD12)</f>
        <v>1.4312144111111378</v>
      </c>
      <c r="AE39">
        <f>STDEV(H6:H34,I6:I33,J6:J32,K6:K31,L6:L30,M6:M29,N6:N28,O6:O27,P6:P26,Q6:Q25,R6:R24,S6:S23,T6:T22,U6:U21,V6:V20,W6:W19,X6:X18,Y6:Y17,Z6:Z16,AA6:AA15,AB6:AB14,AC6:AC13,AD6:AD12,AE6:AE11)</f>
        <v>1.43835229315133</v>
      </c>
      <c r="AF39">
        <f>STDEV(H6:H34,I6:I33,J6:J32,K6:K31,L6:L30,M6:M29,N6:N28,O6:O27,P6:P26,Q6:Q25,R6:R24,S6:S23,T6:T22,U6:U21,V6:V20,W6:W19,X6:X18,Y6:Y17,Z6:Z16,AA6:AA15,AB6:AB14,AC6:AC13,AD6:AD12,AE6:AE11,AF6:AF10)</f>
        <v>1.520324898765665</v>
      </c>
      <c r="AG39">
        <f>STDEV(H6:H34,I6:I33,J6:J32,K6:K31,L6:L30,M6:M29,N6:N28,O6:O27,P6:P26,Q6:Q25,R6:R24,S6:S23,T6:T22,U6:U21,V6:V20,W6:W19,X6:X18,Y6:Y17,Z6:Z16,AA6:AA15,AB6:AB14,AC6:AC13,AD6:AD12,AE6:AE11,AF6:AF10,AG6:AG9)</f>
        <v>1.5513373458192667</v>
      </c>
      <c r="AH39">
        <f>STDEV(H6:H34,I6:I33,J6:J32,K6:K31,L6:L30,M6:M29,N6:N28,O6:O27,P6:P26,Q6:Q25,R6:R24,S6:S23,T6:T22,U6:U21,V6:V20,W6:W19,X6:X18,Y6:Y17,Z6:Z16,AA6:AA15,AB6:AB14,AC6:AC13,AD6:AD12,AE6:AE11,AF6:AF10,AG6:AG9,AH6:AH8)</f>
        <v>1.5474836626992705</v>
      </c>
      <c r="AI39">
        <f>STDEV(H6:H34,I6:I33,J6:J32,K6:K31,L6:L30,M6:M29,N6:N28,O6:O27,P6:P26,Q6:Q25,R6:R24,S6:S23,T6:T22,U6:U21,V6:V20,W6:W19,X6:X18,Y6:Y17,Z6:Z16,AA6:AA15,AB6:AB14,AC6:AC13,AD6:AD12,AE6:AE11,AF6:AF10,AG6:AG9,AH6:AH8,AI6:AI7)</f>
        <v>1.5668056295170076</v>
      </c>
      <c r="AJ39" s="70">
        <f>STDEV(H6:H34,I6:I33,J6:J32,K6:K31,L6:L30,M6:M29,N6:N28,O6:O27,P6:P26,Q6:Q25,R6:R24,S6:S23,T6:T22,U6:U21,V6:V20,W6:W19,X6:X18,Y6:Y17,Z6:Z16,AA6:AA15,AB6:AB14,AC6:AC13,AD6:AD12,AE6:AE11,AF6:AF10,AG6:AG9,AH6:AH8,AI6:AI7,AJ6)</f>
        <v>1.5651578373368651</v>
      </c>
    </row>
  </sheetData>
  <conditionalFormatting sqref="D6:D35">
    <cfRule type="expression" dxfId="1" priority="1">
      <formula>INT(ROW(D6)/2)-(ROW(D6)/2)&lt;&gt;0</formula>
    </cfRule>
    <cfRule type="expression" dxfId="0" priority="2">
      <formula>INT(ROW(D6)/2)-(ROW(D6)/2)=0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Foglio1</vt:lpstr>
      <vt:lpstr>Foglio2</vt:lpstr>
      <vt:lpstr>Foglio4</vt:lpstr>
      <vt:lpstr>Foglio6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</dc:creator>
  <cp:lastModifiedBy>MATTEO</cp:lastModifiedBy>
  <dcterms:created xsi:type="dcterms:W3CDTF">2020-09-30T15:48:38Z</dcterms:created>
  <dcterms:modified xsi:type="dcterms:W3CDTF">2021-10-09T16:46:20Z</dcterms:modified>
</cp:coreProperties>
</file>